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66925"/>
  <mc:AlternateContent xmlns:mc="http://schemas.openxmlformats.org/markup-compatibility/2006">
    <mc:Choice Requires="x15">
      <x15ac:absPath xmlns:x15ac="http://schemas.microsoft.com/office/spreadsheetml/2010/11/ac" url="D:\USB\VITI 2023\PER RAPORTIN VJETOR 2022-2023\"/>
    </mc:Choice>
  </mc:AlternateContent>
  <xr:revisionPtr revIDLastSave="0" documentId="13_ncr:1_{C4DAA4FF-D876-4071-AA2A-BDCB39F43BB3}" xr6:coauthVersionLast="47" xr6:coauthVersionMax="47" xr10:uidLastSave="{00000000-0000-0000-0000-000000000000}"/>
  <bookViews>
    <workbookView xWindow="-120" yWindow="-120" windowWidth="29040" windowHeight="15840" tabRatio="888" xr2:uid="{00000000-000D-0000-FFFF-FFFF00000000}"/>
  </bookViews>
  <sheets>
    <sheet name="Tabela 13" sheetId="5" r:id="rId1"/>
    <sheet name="Tabela 15" sheetId="1" r:id="rId2"/>
    <sheet name="Tabela 16" sheetId="2" r:id="rId3"/>
    <sheet name="Tabela 17" sheetId="3" r:id="rId4"/>
    <sheet name="Tabela 18" sheetId="4" r:id="rId5"/>
    <sheet name="TAB 21 PJ PARE" sheetId="8" r:id="rId6"/>
    <sheet name="TAB 21 PJ DYTE" sheetId="6" r:id="rId7"/>
    <sheet name="TAB 21 PJ TRETE" sheetId="9" r:id="rId8"/>
    <sheet name="TAB 22" sheetId="10" r:id="rId9"/>
    <sheet name="TAB 23" sheetId="11" r:id="rId10"/>
    <sheet name="TAB 24" sheetId="12" r:id="rId11"/>
    <sheet name="TAB 25" sheetId="14" r:id="rId12"/>
    <sheet name="TAB 26" sheetId="15" r:id="rId13"/>
    <sheet name="TAB 27" sheetId="16" r:id="rId14"/>
    <sheet name="Tabela 28" sheetId="7" r:id="rId15"/>
    <sheet name="Sheet1" sheetId="13" r:id="rId16"/>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8" i="8" l="1"/>
  <c r="C33" i="8"/>
  <c r="C20" i="8" l="1"/>
  <c r="C9" i="8"/>
  <c r="C8" i="8"/>
  <c r="D17" i="16"/>
  <c r="E17" i="16"/>
  <c r="D24" i="16"/>
  <c r="D20" i="16" s="1"/>
  <c r="E30" i="16"/>
  <c r="E24" i="16" s="1"/>
  <c r="E32" i="16"/>
  <c r="C25" i="16"/>
  <c r="C10" i="16"/>
  <c r="C30" i="16" l="1"/>
  <c r="F36" i="16" l="1"/>
  <c r="F35" i="16"/>
  <c r="F34" i="16"/>
  <c r="E33" i="16"/>
  <c r="C33" i="16"/>
  <c r="F32" i="16"/>
  <c r="F31" i="16"/>
  <c r="F30" i="16"/>
  <c r="F29" i="16"/>
  <c r="F28" i="16"/>
  <c r="F27" i="16"/>
  <c r="F26" i="16"/>
  <c r="F25" i="16"/>
  <c r="C24" i="16"/>
  <c r="F23" i="16"/>
  <c r="F22" i="16"/>
  <c r="E21" i="16"/>
  <c r="E20" i="16" s="1"/>
  <c r="C21" i="16"/>
  <c r="F19" i="16"/>
  <c r="F18" i="16"/>
  <c r="C17" i="16"/>
  <c r="F16" i="16"/>
  <c r="F15" i="16"/>
  <c r="F14" i="16"/>
  <c r="F13" i="16"/>
  <c r="F12" i="16"/>
  <c r="F11" i="16"/>
  <c r="F10" i="16"/>
  <c r="E9" i="16"/>
  <c r="D9" i="16"/>
  <c r="C9" i="16"/>
  <c r="F9" i="16" l="1"/>
  <c r="C20" i="16"/>
  <c r="F24" i="16"/>
  <c r="F17" i="16"/>
  <c r="F21" i="16"/>
  <c r="E37" i="16"/>
  <c r="D33" i="16"/>
  <c r="D37" i="16" s="1"/>
  <c r="C37" i="16" l="1"/>
  <c r="F20" i="16"/>
  <c r="F33" i="16"/>
  <c r="F37" i="16" l="1"/>
  <c r="C44" i="16" l="1"/>
  <c r="E44" i="16" s="1"/>
  <c r="D52" i="16"/>
  <c r="D49" i="16"/>
  <c r="D43" i="16"/>
  <c r="E45" i="16"/>
  <c r="E46" i="16"/>
  <c r="E47" i="16"/>
  <c r="E48" i="16"/>
  <c r="E50" i="16"/>
  <c r="E51" i="16"/>
  <c r="E54" i="16"/>
  <c r="E55" i="16"/>
  <c r="C53" i="16"/>
  <c r="C52" i="16" s="1"/>
  <c r="C49" i="16"/>
  <c r="D11" i="15"/>
  <c r="E11" i="15"/>
  <c r="F11" i="15"/>
  <c r="G11" i="15"/>
  <c r="H11" i="15"/>
  <c r="I11" i="15"/>
  <c r="J11" i="15"/>
  <c r="C11" i="15"/>
  <c r="C11" i="14"/>
  <c r="H7" i="14"/>
  <c r="E7" i="14"/>
  <c r="F32" i="14"/>
  <c r="E19" i="14"/>
  <c r="E20" i="14"/>
  <c r="E21" i="14"/>
  <c r="E22" i="14"/>
  <c r="E23" i="14"/>
  <c r="E24" i="14"/>
  <c r="E25" i="14"/>
  <c r="E26" i="14"/>
  <c r="E27" i="14"/>
  <c r="E28" i="14"/>
  <c r="E29" i="14"/>
  <c r="E30" i="14"/>
  <c r="D32" i="14"/>
  <c r="C32" i="14"/>
  <c r="E18" i="14"/>
  <c r="E31" i="14"/>
  <c r="E17" i="14"/>
  <c r="D11" i="14"/>
  <c r="E49" i="16" l="1"/>
  <c r="E53" i="16"/>
  <c r="E52" i="16" s="1"/>
  <c r="D56" i="16"/>
  <c r="E43" i="16"/>
  <c r="C43" i="16"/>
  <c r="C56" i="16" s="1"/>
  <c r="E32" i="14"/>
  <c r="E11" i="14"/>
  <c r="E56" i="16" l="1"/>
  <c r="C11" i="9" l="1"/>
  <c r="D11" i="9"/>
  <c r="C40" i="8"/>
  <c r="D65" i="10" l="1"/>
  <c r="D63" i="10"/>
  <c r="C61" i="10"/>
  <c r="C70" i="10"/>
  <c r="B38" i="8" l="1"/>
  <c r="H12" i="2"/>
  <c r="F8" i="12" l="1"/>
  <c r="F9" i="12"/>
  <c r="F10" i="12"/>
  <c r="F7" i="12"/>
  <c r="E11" i="12"/>
  <c r="D11" i="12"/>
  <c r="C9" i="11"/>
  <c r="D9" i="11"/>
  <c r="E9" i="11"/>
  <c r="F9" i="11"/>
  <c r="G9" i="11"/>
  <c r="H9" i="11"/>
  <c r="I9" i="11"/>
  <c r="J9" i="11"/>
  <c r="K9" i="11"/>
  <c r="L9" i="11"/>
  <c r="M9" i="11"/>
  <c r="N9" i="11"/>
  <c r="O9" i="11"/>
  <c r="P9" i="11"/>
  <c r="Q9" i="11"/>
  <c r="R9" i="11"/>
  <c r="S9" i="11"/>
  <c r="T9" i="11"/>
  <c r="U9" i="11"/>
  <c r="V9" i="11"/>
  <c r="W9" i="11"/>
  <c r="X9" i="11"/>
  <c r="Y9" i="11"/>
  <c r="C19" i="11"/>
  <c r="D19" i="11"/>
  <c r="E19" i="11"/>
  <c r="F19" i="11"/>
  <c r="G19" i="11"/>
  <c r="H19" i="11"/>
  <c r="I19" i="11"/>
  <c r="J19" i="11"/>
  <c r="K19" i="11"/>
  <c r="L19" i="11"/>
  <c r="M19" i="11"/>
  <c r="N19" i="11"/>
  <c r="O19" i="11"/>
  <c r="P19" i="11"/>
  <c r="Q19" i="11"/>
  <c r="R19" i="11"/>
  <c r="S19" i="11"/>
  <c r="T19" i="11"/>
  <c r="U19" i="11"/>
  <c r="V19" i="11"/>
  <c r="W19" i="11"/>
  <c r="X19" i="11"/>
  <c r="Y19" i="11"/>
  <c r="B19" i="11"/>
  <c r="C43" i="11"/>
  <c r="D43" i="11"/>
  <c r="E43" i="11"/>
  <c r="F43" i="11"/>
  <c r="G43" i="11"/>
  <c r="H43" i="11"/>
  <c r="I43" i="11"/>
  <c r="J43" i="11"/>
  <c r="K43" i="11"/>
  <c r="L43" i="11"/>
  <c r="M43" i="11"/>
  <c r="N43" i="11"/>
  <c r="O43" i="11"/>
  <c r="P43" i="11"/>
  <c r="Q43" i="11"/>
  <c r="R43" i="11"/>
  <c r="S43" i="11"/>
  <c r="T43" i="11"/>
  <c r="U43" i="11"/>
  <c r="V43" i="11"/>
  <c r="W43" i="11"/>
  <c r="X43" i="11"/>
  <c r="Y43" i="11"/>
  <c r="B43" i="11"/>
  <c r="B9" i="11"/>
  <c r="Z11" i="11"/>
  <c r="AA11" i="11"/>
  <c r="Z12" i="11"/>
  <c r="AA12" i="11"/>
  <c r="Z13" i="11"/>
  <c r="AA13" i="11"/>
  <c r="Z14" i="11"/>
  <c r="AA14" i="11"/>
  <c r="Z15" i="11"/>
  <c r="AA15" i="11"/>
  <c r="Z16" i="11"/>
  <c r="AA16" i="11"/>
  <c r="Z17" i="11"/>
  <c r="AA17" i="11"/>
  <c r="Z18" i="11"/>
  <c r="AA18" i="11"/>
  <c r="Z20" i="11"/>
  <c r="AA20" i="11"/>
  <c r="Z21" i="11"/>
  <c r="AA21" i="11"/>
  <c r="Z22" i="11"/>
  <c r="AA22" i="11"/>
  <c r="Z23" i="11"/>
  <c r="AA23" i="11"/>
  <c r="Z24" i="11"/>
  <c r="AA24" i="11"/>
  <c r="Z25" i="11"/>
  <c r="AA25" i="11"/>
  <c r="Z26" i="11"/>
  <c r="AA26" i="11"/>
  <c r="Z27" i="11"/>
  <c r="AA27" i="11"/>
  <c r="Z28" i="11"/>
  <c r="AA28" i="11"/>
  <c r="Z29" i="11"/>
  <c r="AA29" i="11"/>
  <c r="Z30" i="11"/>
  <c r="AA30" i="11"/>
  <c r="Z31" i="11"/>
  <c r="AA31" i="11"/>
  <c r="Z32" i="11"/>
  <c r="AA32" i="11"/>
  <c r="Z33" i="11"/>
  <c r="AA33" i="11"/>
  <c r="Z34" i="11"/>
  <c r="AA34" i="11"/>
  <c r="Z35" i="11"/>
  <c r="AA35" i="11"/>
  <c r="Z36" i="11"/>
  <c r="AA36" i="11"/>
  <c r="Z37" i="11"/>
  <c r="AA37" i="11"/>
  <c r="Z38" i="11"/>
  <c r="AA38" i="11"/>
  <c r="Z39" i="11"/>
  <c r="AA39" i="11"/>
  <c r="Z40" i="11"/>
  <c r="AA40" i="11"/>
  <c r="Z41" i="11"/>
  <c r="AA41" i="11"/>
  <c r="Z42" i="11"/>
  <c r="AA42" i="11"/>
  <c r="Z44" i="11"/>
  <c r="AA44" i="11"/>
  <c r="Z45" i="11"/>
  <c r="AA45" i="11"/>
  <c r="Z46" i="11"/>
  <c r="AA46" i="11"/>
  <c r="Z47" i="11"/>
  <c r="AA47" i="11"/>
  <c r="Z48" i="11"/>
  <c r="AA48" i="11"/>
  <c r="Z49" i="11"/>
  <c r="AA49" i="11"/>
  <c r="Z50" i="11"/>
  <c r="AA50" i="11"/>
  <c r="Z51" i="11"/>
  <c r="AA51" i="11"/>
  <c r="Z52" i="11"/>
  <c r="AA52" i="11"/>
  <c r="Z53" i="11"/>
  <c r="AA53" i="11"/>
  <c r="Z54" i="11"/>
  <c r="AA54" i="11"/>
  <c r="Z55" i="11"/>
  <c r="AA55" i="11"/>
  <c r="Z56" i="11"/>
  <c r="AA56" i="11"/>
  <c r="Z57" i="11"/>
  <c r="AA57" i="11"/>
  <c r="Z58" i="11"/>
  <c r="AA58" i="11"/>
  <c r="Z59" i="11"/>
  <c r="AA59" i="11"/>
  <c r="Z60" i="11"/>
  <c r="AA60" i="11"/>
  <c r="Z61" i="11"/>
  <c r="AA61" i="11"/>
  <c r="Z62" i="11"/>
  <c r="AA62" i="11"/>
  <c r="AA10" i="11"/>
  <c r="Z10" i="11"/>
  <c r="AA43" i="11" l="1"/>
  <c r="Z43" i="11"/>
  <c r="Z9" i="11"/>
  <c r="AA19" i="11"/>
  <c r="AA9" i="11"/>
  <c r="Z19" i="11"/>
  <c r="F11" i="12"/>
  <c r="E40" i="10"/>
  <c r="C32" i="10" l="1"/>
  <c r="D49" i="10"/>
  <c r="D48" i="10" s="1"/>
  <c r="F47" i="10"/>
  <c r="E39" i="10"/>
  <c r="C39" i="10"/>
  <c r="F34" i="10"/>
  <c r="E32" i="10"/>
  <c r="E36" i="10"/>
  <c r="C36" i="10"/>
  <c r="E48" i="10"/>
  <c r="C48" i="10"/>
  <c r="D24" i="10"/>
  <c r="E24" i="10"/>
  <c r="C24" i="10"/>
  <c r="F25" i="10"/>
  <c r="F26" i="10"/>
  <c r="F27" i="10"/>
  <c r="F28" i="10"/>
  <c r="F29" i="10"/>
  <c r="F30" i="10"/>
  <c r="F31" i="10"/>
  <c r="F33" i="10"/>
  <c r="F37" i="10"/>
  <c r="F38" i="10"/>
  <c r="F40" i="10"/>
  <c r="F41" i="10"/>
  <c r="F42" i="10"/>
  <c r="F43" i="10"/>
  <c r="F44" i="10"/>
  <c r="F45" i="10"/>
  <c r="F46" i="10"/>
  <c r="F50" i="10"/>
  <c r="F51" i="10"/>
  <c r="E35" i="10" l="1"/>
  <c r="C35" i="10"/>
  <c r="F48" i="10"/>
  <c r="F24" i="10"/>
  <c r="F36" i="10"/>
  <c r="F39" i="10"/>
  <c r="F49" i="10"/>
  <c r="E52" i="10"/>
  <c r="C52" i="10"/>
  <c r="D52" i="10"/>
  <c r="F32" i="10"/>
  <c r="F35" i="10" l="1"/>
  <c r="F52" i="10" s="1"/>
  <c r="E13" i="10" l="1"/>
  <c r="E12" i="10"/>
  <c r="E11" i="10" s="1"/>
  <c r="D11" i="10"/>
  <c r="C11" i="10"/>
  <c r="D14" i="10"/>
  <c r="E16" i="10"/>
  <c r="E17" i="10"/>
  <c r="E15" i="10"/>
  <c r="E7" i="10"/>
  <c r="E8" i="10"/>
  <c r="E9" i="10"/>
  <c r="E10" i="10"/>
  <c r="D6" i="10"/>
  <c r="E6" i="10" s="1"/>
  <c r="C14" i="10"/>
  <c r="D5" i="10"/>
  <c r="C5" i="10"/>
  <c r="D5" i="9"/>
  <c r="C4" i="9"/>
  <c r="B11" i="9"/>
  <c r="B5" i="9"/>
  <c r="B4" i="9" s="1"/>
  <c r="C15" i="9"/>
  <c r="D15" i="9"/>
  <c r="B15" i="9"/>
  <c r="C41" i="8"/>
  <c r="D41" i="8"/>
  <c r="B41" i="8"/>
  <c r="C23" i="8"/>
  <c r="D23" i="8"/>
  <c r="B23" i="8"/>
  <c r="D4" i="9" l="1"/>
  <c r="D30" i="9" s="1"/>
  <c r="C30" i="9"/>
  <c r="B30" i="9"/>
  <c r="E14" i="10"/>
  <c r="D18" i="10"/>
  <c r="C18" i="10"/>
  <c r="E5" i="10"/>
  <c r="E18" i="10" s="1"/>
  <c r="C17" i="8" l="1"/>
  <c r="D17" i="8"/>
  <c r="B17" i="8"/>
  <c r="C10" i="8" l="1"/>
  <c r="D69" i="10" l="1"/>
  <c r="C69" i="10"/>
  <c r="D66" i="10"/>
  <c r="C66" i="10"/>
  <c r="D60" i="10"/>
  <c r="C60" i="10"/>
  <c r="D10" i="8"/>
  <c r="B10" i="8"/>
  <c r="D12" i="6"/>
  <c r="G12" i="6"/>
  <c r="C12" i="6"/>
  <c r="C73" i="10" l="1"/>
  <c r="D73" i="10"/>
  <c r="H9" i="6"/>
  <c r="H12" i="6" s="1"/>
  <c r="F9" i="6"/>
  <c r="I12" i="4"/>
  <c r="K12" i="4"/>
  <c r="K21" i="4" s="1"/>
  <c r="L12" i="4"/>
  <c r="L21" i="4" s="1"/>
  <c r="I21" i="4"/>
  <c r="J21" i="4"/>
  <c r="H21" i="4"/>
  <c r="I27" i="3"/>
  <c r="J27" i="3"/>
  <c r="K27" i="3"/>
  <c r="L27" i="3"/>
  <c r="H27" i="3"/>
  <c r="G12" i="2"/>
  <c r="L12" i="2" s="1"/>
  <c r="I24" i="1" l="1"/>
  <c r="J24" i="1"/>
  <c r="K24" i="1"/>
  <c r="H24" i="1"/>
  <c r="K13" i="2" l="1"/>
  <c r="F114" i="5"/>
  <c r="F7" i="6" l="1"/>
  <c r="F12" i="6" s="1"/>
  <c r="E7" i="6"/>
  <c r="E12" i="6" s="1"/>
  <c r="G108" i="5" l="1"/>
  <c r="G107" i="5"/>
  <c r="G106" i="5"/>
  <c r="G105" i="5"/>
  <c r="G104" i="5"/>
  <c r="G103" i="5"/>
  <c r="G102" i="5"/>
  <c r="G101" i="5"/>
  <c r="G98" i="5"/>
  <c r="G95" i="5"/>
  <c r="G94" i="5"/>
  <c r="G93" i="5"/>
  <c r="G92" i="5"/>
  <c r="G91" i="5"/>
  <c r="G90" i="5"/>
  <c r="G89" i="5"/>
  <c r="G88" i="5"/>
  <c r="G87" i="5"/>
  <c r="G86" i="5"/>
  <c r="G84" i="5"/>
  <c r="G85" i="5"/>
  <c r="G82" i="5"/>
  <c r="G80" i="5"/>
  <c r="G81" i="5"/>
  <c r="G79" i="5"/>
  <c r="E64" i="5"/>
  <c r="G63" i="5"/>
  <c r="G62" i="5"/>
  <c r="G61" i="5"/>
  <c r="G60" i="5"/>
  <c r="G59" i="5"/>
  <c r="G58" i="5"/>
  <c r="G57" i="5"/>
  <c r="G56" i="5"/>
  <c r="G55" i="5"/>
  <c r="G37" i="5"/>
  <c r="G36" i="5"/>
  <c r="G35" i="5"/>
  <c r="G34" i="5"/>
  <c r="G33" i="5"/>
  <c r="G32" i="5"/>
  <c r="G14" i="5"/>
  <c r="G13" i="5"/>
  <c r="G12" i="5"/>
  <c r="G11" i="5"/>
  <c r="G10" i="5"/>
  <c r="G9" i="5"/>
  <c r="G8" i="5"/>
  <c r="G7" i="5"/>
  <c r="G6" i="5"/>
  <c r="E110" i="5"/>
  <c r="E109" i="5"/>
  <c r="E108" i="5"/>
  <c r="E107" i="5"/>
  <c r="E105" i="5"/>
  <c r="E104" i="5"/>
  <c r="E103" i="5"/>
  <c r="E102" i="5"/>
  <c r="E101" i="5"/>
  <c r="E98" i="5"/>
  <c r="E97" i="5"/>
  <c r="E96" i="5"/>
  <c r="E95" i="5"/>
  <c r="E94" i="5"/>
  <c r="E93" i="5"/>
  <c r="E92" i="5"/>
  <c r="E91" i="5"/>
  <c r="E90" i="5"/>
  <c r="E89" i="5"/>
  <c r="E88" i="5"/>
  <c r="E87" i="5"/>
  <c r="E86" i="5"/>
  <c r="E85" i="5"/>
  <c r="E84" i="5"/>
  <c r="E83" i="5"/>
  <c r="E82" i="5"/>
  <c r="E81" i="5"/>
  <c r="E80" i="5"/>
  <c r="E79" i="5"/>
  <c r="E77" i="5"/>
  <c r="E76" i="5"/>
  <c r="E75" i="5"/>
  <c r="E74" i="5"/>
  <c r="E73" i="5"/>
  <c r="E72" i="5"/>
  <c r="E69" i="5"/>
  <c r="E68" i="5"/>
  <c r="E67" i="5"/>
  <c r="E66" i="5"/>
  <c r="E63" i="5"/>
  <c r="E62" i="5"/>
  <c r="E61" i="5"/>
  <c r="E59" i="5"/>
  <c r="E58" i="5"/>
  <c r="E57" i="5"/>
  <c r="E56" i="5"/>
  <c r="E55" i="5"/>
  <c r="E46" i="5"/>
  <c r="E45" i="5"/>
  <c r="E44" i="5"/>
  <c r="E43" i="5"/>
  <c r="E42" i="5"/>
  <c r="E41" i="5"/>
  <c r="E40" i="5"/>
  <c r="E39" i="5"/>
  <c r="E38" i="5"/>
  <c r="E37" i="5"/>
  <c r="E36" i="5"/>
  <c r="E35" i="5"/>
  <c r="E34" i="5"/>
  <c r="E33" i="5"/>
  <c r="E22" i="5"/>
  <c r="E21" i="5"/>
  <c r="E20" i="5"/>
  <c r="E19" i="5"/>
  <c r="E18" i="5"/>
  <c r="E17" i="5"/>
  <c r="E16" i="5"/>
  <c r="E15" i="5"/>
  <c r="E14" i="5"/>
  <c r="E13" i="5"/>
  <c r="E12" i="5"/>
  <c r="E11" i="5"/>
  <c r="E10" i="5"/>
  <c r="E9" i="5"/>
  <c r="E8" i="5"/>
  <c r="E7" i="5"/>
  <c r="E6" i="5"/>
  <c r="L14" i="1"/>
  <c r="L24" i="1" s="1"/>
  <c r="E114" i="5" l="1"/>
  <c r="G114" i="5"/>
  <c r="M20" i="4"/>
  <c r="M19" i="4"/>
  <c r="M18" i="4"/>
  <c r="M17" i="4"/>
  <c r="M16" i="4"/>
  <c r="M15" i="4"/>
  <c r="M14" i="4"/>
  <c r="M13" i="4"/>
  <c r="M12" i="4"/>
  <c r="M26" i="3"/>
  <c r="M25" i="3"/>
  <c r="M24" i="3"/>
  <c r="M23" i="3"/>
  <c r="M22" i="3"/>
  <c r="M21" i="3"/>
  <c r="M20" i="3"/>
  <c r="M19" i="3"/>
  <c r="M18" i="3"/>
  <c r="M17" i="3"/>
  <c r="M16" i="3"/>
  <c r="M15" i="3"/>
  <c r="M14" i="3"/>
  <c r="M13" i="3"/>
  <c r="M23" i="1"/>
  <c r="M22" i="1"/>
  <c r="M21" i="1"/>
  <c r="M20" i="1"/>
  <c r="M19" i="1"/>
  <c r="M18" i="1"/>
  <c r="M17" i="1"/>
  <c r="M16" i="1"/>
  <c r="M15" i="1"/>
  <c r="M14" i="1"/>
  <c r="M13" i="1"/>
  <c r="M12" i="1"/>
  <c r="M24" i="1" l="1"/>
  <c r="M21" i="4"/>
  <c r="O21" i="4" s="1"/>
  <c r="M27" i="3"/>
  <c r="L13" i="2"/>
  <c r="L1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HP</author>
  </authors>
  <commentList>
    <comment ref="C63" authorId="0" shapeId="0" xr:uid="{00000000-0006-0000-0800-000001000000}">
      <text>
        <r>
          <rPr>
            <b/>
            <sz val="9"/>
            <color indexed="81"/>
            <rFont val="Tahoma"/>
            <charset val="1"/>
          </rPr>
          <t>HP:</t>
        </r>
        <r>
          <rPr>
            <sz val="9"/>
            <color indexed="81"/>
            <rFont val="Tahoma"/>
            <charset val="1"/>
          </rPr>
          <t xml:space="preserve">
NDERKOMB 602+606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Eva Laci</author>
    <author>Anila</author>
  </authors>
  <commentList>
    <comment ref="A36" authorId="0" shapeId="0" xr:uid="{00000000-0006-0000-0900-000001000000}">
      <text>
        <r>
          <rPr>
            <b/>
            <sz val="9"/>
            <color indexed="81"/>
            <rFont val="Tahoma"/>
            <charset val="1"/>
          </rPr>
          <t>Eva Laci:</t>
        </r>
        <r>
          <rPr>
            <sz val="9"/>
            <color indexed="81"/>
            <rFont val="Tahoma"/>
            <charset val="1"/>
          </rPr>
          <t xml:space="preserve">
kasp 8 prog 09770
</t>
        </r>
      </text>
    </comment>
    <comment ref="P36" authorId="0" shapeId="0" xr:uid="{00000000-0006-0000-0900-000002000000}">
      <text>
        <r>
          <rPr>
            <b/>
            <sz val="9"/>
            <color indexed="81"/>
            <rFont val="Tahoma"/>
            <charset val="1"/>
          </rPr>
          <t>Eva Laci:</t>
        </r>
        <r>
          <rPr>
            <sz val="9"/>
            <color indexed="81"/>
            <rFont val="Tahoma"/>
            <charset val="1"/>
          </rPr>
          <t xml:space="preserve">
PROJEKT I RI NGA AKKSHI</t>
        </r>
      </text>
    </comment>
    <comment ref="AA36" authorId="0" shapeId="0" xr:uid="{00000000-0006-0000-0900-000003000000}">
      <text>
        <r>
          <rPr>
            <b/>
            <sz val="9"/>
            <color indexed="81"/>
            <rFont val="Tahoma"/>
            <charset val="1"/>
          </rPr>
          <t>Eva Laci:</t>
        </r>
        <r>
          <rPr>
            <sz val="9"/>
            <color indexed="81"/>
            <rFont val="Tahoma"/>
            <charset val="1"/>
          </rPr>
          <t xml:space="preserve">
perdorimi i takon vetem almes</t>
        </r>
      </text>
    </comment>
    <comment ref="C40" authorId="1" shapeId="0" xr:uid="{00000000-0006-0000-0900-000004000000}">
      <text>
        <r>
          <rPr>
            <b/>
            <sz val="9"/>
            <color indexed="81"/>
            <rFont val="Tahoma"/>
            <family val="2"/>
          </rPr>
          <t>Anila:</t>
        </r>
        <r>
          <rPr>
            <sz val="9"/>
            <color indexed="81"/>
            <rFont val="Tahoma"/>
            <family val="2"/>
          </rPr>
          <t xml:space="preserve">
tatim per qerate</t>
        </r>
      </text>
    </comment>
    <comment ref="E40" authorId="1" shapeId="0" xr:uid="{00000000-0006-0000-0900-000005000000}">
      <text>
        <r>
          <rPr>
            <b/>
            <sz val="9"/>
            <color indexed="81"/>
            <rFont val="Tahoma"/>
            <family val="2"/>
          </rPr>
          <t>Anila:</t>
        </r>
        <r>
          <rPr>
            <sz val="9"/>
            <color indexed="81"/>
            <rFont val="Tahoma"/>
            <family val="2"/>
          </rPr>
          <t xml:space="preserve">
tatim per qerate</t>
        </r>
      </text>
    </comment>
    <comment ref="G40" authorId="1" shapeId="0" xr:uid="{00000000-0006-0000-0900-000006000000}">
      <text>
        <r>
          <rPr>
            <b/>
            <sz val="9"/>
            <color indexed="81"/>
            <rFont val="Tahoma"/>
            <family val="2"/>
          </rPr>
          <t>Anila:</t>
        </r>
        <r>
          <rPr>
            <sz val="9"/>
            <color indexed="81"/>
            <rFont val="Tahoma"/>
            <family val="2"/>
          </rPr>
          <t xml:space="preserve">
tatim per qerate</t>
        </r>
      </text>
    </comment>
    <comment ref="I40" authorId="1" shapeId="0" xr:uid="{00000000-0006-0000-0900-000007000000}">
      <text>
        <r>
          <rPr>
            <b/>
            <sz val="9"/>
            <color indexed="81"/>
            <rFont val="Tahoma"/>
            <family val="2"/>
          </rPr>
          <t>Anila:</t>
        </r>
        <r>
          <rPr>
            <sz val="9"/>
            <color indexed="81"/>
            <rFont val="Tahoma"/>
            <family val="2"/>
          </rPr>
          <t xml:space="preserve">
tatim per qerate</t>
        </r>
      </text>
    </comment>
    <comment ref="K40" authorId="1" shapeId="0" xr:uid="{00000000-0006-0000-0900-000008000000}">
      <text>
        <r>
          <rPr>
            <b/>
            <sz val="9"/>
            <color indexed="81"/>
            <rFont val="Tahoma"/>
            <family val="2"/>
          </rPr>
          <t>Anila:</t>
        </r>
        <r>
          <rPr>
            <sz val="9"/>
            <color indexed="81"/>
            <rFont val="Tahoma"/>
            <family val="2"/>
          </rPr>
          <t xml:space="preserve">
matrikulimi dokt</t>
        </r>
      </text>
    </comment>
    <comment ref="M40" authorId="1" shapeId="0" xr:uid="{00000000-0006-0000-0900-000009000000}">
      <text>
        <r>
          <rPr>
            <b/>
            <sz val="9"/>
            <color indexed="81"/>
            <rFont val="Tahoma"/>
            <family val="2"/>
          </rPr>
          <t>Anila:</t>
        </r>
        <r>
          <rPr>
            <sz val="9"/>
            <color indexed="81"/>
            <rFont val="Tahoma"/>
            <family val="2"/>
          </rPr>
          <t xml:space="preserve">
matrikulimi dokt</t>
        </r>
      </text>
    </comment>
    <comment ref="O40" authorId="1" shapeId="0" xr:uid="{00000000-0006-0000-0900-00000A000000}">
      <text>
        <r>
          <rPr>
            <b/>
            <sz val="9"/>
            <color indexed="81"/>
            <rFont val="Tahoma"/>
            <family val="2"/>
          </rPr>
          <t>Anila:</t>
        </r>
        <r>
          <rPr>
            <sz val="9"/>
            <color indexed="81"/>
            <rFont val="Tahoma"/>
            <family val="2"/>
          </rPr>
          <t xml:space="preserve">
matrikulimi dokt</t>
        </r>
      </text>
    </comment>
    <comment ref="A42" authorId="0" shapeId="0" xr:uid="{00000000-0006-0000-0900-00000B000000}">
      <text>
        <r>
          <rPr>
            <b/>
            <sz val="9"/>
            <color indexed="81"/>
            <rFont val="Tahoma"/>
            <charset val="1"/>
          </rPr>
          <t>Eva Laci:</t>
        </r>
        <r>
          <rPr>
            <sz val="9"/>
            <color indexed="81"/>
            <rFont val="Tahoma"/>
            <charset val="1"/>
          </rPr>
          <t xml:space="preserve">
projektet e ndderkomb 602/ 09450</t>
        </r>
      </text>
    </comment>
    <comment ref="O53" authorId="0" shapeId="0" xr:uid="{00000000-0006-0000-0900-00000C000000}">
      <text>
        <r>
          <rPr>
            <b/>
            <sz val="9"/>
            <color indexed="81"/>
            <rFont val="Tahoma"/>
            <charset val="1"/>
          </rPr>
          <t>Eva Laci:</t>
        </r>
        <r>
          <rPr>
            <sz val="9"/>
            <color indexed="81"/>
            <rFont val="Tahoma"/>
            <charset val="1"/>
          </rPr>
          <t xml:space="preserve">
klimacasa</t>
        </r>
      </text>
    </comment>
    <comment ref="Q58" authorId="0" shapeId="0" xr:uid="{00000000-0006-0000-0900-00000D000000}">
      <text>
        <r>
          <rPr>
            <b/>
            <sz val="9"/>
            <color indexed="81"/>
            <rFont val="Tahoma"/>
            <charset val="1"/>
          </rPr>
          <t>Eva Laci:</t>
        </r>
        <r>
          <rPr>
            <sz val="9"/>
            <color indexed="81"/>
            <rFont val="Tahoma"/>
            <charset val="1"/>
          </rPr>
          <t xml:space="preserve">
BASHKEFINANCIM NE PROJEKTE DHE BOTIMET ME SCOPUS</t>
        </r>
      </text>
    </comment>
    <comment ref="S58" authorId="0" shapeId="0" xr:uid="{00000000-0006-0000-0900-00000E000000}">
      <text>
        <r>
          <rPr>
            <b/>
            <sz val="9"/>
            <color indexed="81"/>
            <rFont val="Tahoma"/>
            <charset val="1"/>
          </rPr>
          <t>Eva Laci:</t>
        </r>
        <r>
          <rPr>
            <sz val="9"/>
            <color indexed="81"/>
            <rFont val="Tahoma"/>
            <charset val="1"/>
          </rPr>
          <t xml:space="preserve">
BASHKEFINANCIM NE PROJEKTE DHE BOTIMET ME SCOPUS</t>
        </r>
      </text>
    </comment>
    <comment ref="U58" authorId="0" shapeId="0" xr:uid="{00000000-0006-0000-0900-00000F000000}">
      <text>
        <r>
          <rPr>
            <b/>
            <sz val="9"/>
            <color indexed="81"/>
            <rFont val="Tahoma"/>
            <charset val="1"/>
          </rPr>
          <t>Eva Laci:</t>
        </r>
        <r>
          <rPr>
            <sz val="9"/>
            <color indexed="81"/>
            <rFont val="Tahoma"/>
            <charset val="1"/>
          </rPr>
          <t xml:space="preserve">
BASHKEFINANCIM NE PROJEKTE DHE BOTIMET ME SCOPUS</t>
        </r>
      </text>
    </comment>
    <comment ref="W58" authorId="0" shapeId="0" xr:uid="{00000000-0006-0000-0900-000010000000}">
      <text>
        <r>
          <rPr>
            <b/>
            <sz val="9"/>
            <color indexed="81"/>
            <rFont val="Tahoma"/>
            <charset val="1"/>
          </rPr>
          <t>Eva Laci:</t>
        </r>
        <r>
          <rPr>
            <sz val="9"/>
            <color indexed="81"/>
            <rFont val="Tahoma"/>
            <charset val="1"/>
          </rPr>
          <t xml:space="preserve">
BASHKEFINANCIM NE PROJEKTE DHE BOTIMET ME SCOPUS</t>
        </r>
      </text>
    </comment>
    <comment ref="Y58" authorId="0" shapeId="0" xr:uid="{00000000-0006-0000-0900-000011000000}">
      <text>
        <r>
          <rPr>
            <b/>
            <sz val="9"/>
            <color indexed="81"/>
            <rFont val="Tahoma"/>
            <charset val="1"/>
          </rPr>
          <t>Eva Laci:</t>
        </r>
        <r>
          <rPr>
            <sz val="9"/>
            <color indexed="81"/>
            <rFont val="Tahoma"/>
            <charset val="1"/>
          </rPr>
          <t xml:space="preserve">
BASHKEFINANCIM NE PROJEKTE DHE BOTIMET ME SCOPUS</t>
        </r>
      </text>
    </comment>
    <comment ref="I61" authorId="0" shapeId="0" xr:uid="{00000000-0006-0000-0900-000012000000}">
      <text>
        <r>
          <rPr>
            <b/>
            <sz val="9"/>
            <color indexed="81"/>
            <rFont val="Tahoma"/>
            <family val="2"/>
          </rPr>
          <t>Eva Laci:</t>
        </r>
        <r>
          <rPr>
            <sz val="9"/>
            <color indexed="81"/>
            <rFont val="Tahoma"/>
            <family val="2"/>
          </rPr>
          <t xml:space="preserve">
leje ndertimore</t>
        </r>
      </text>
    </comment>
    <comment ref="K61" authorId="0" shapeId="0" xr:uid="{00000000-0006-0000-0900-000013000000}">
      <text>
        <r>
          <rPr>
            <b/>
            <sz val="9"/>
            <color indexed="81"/>
            <rFont val="Tahoma"/>
            <family val="2"/>
          </rPr>
          <t>Eva Laci:</t>
        </r>
        <r>
          <rPr>
            <sz val="9"/>
            <color indexed="81"/>
            <rFont val="Tahoma"/>
            <family val="2"/>
          </rPr>
          <t xml:space="preserve">
leje ndertimore</t>
        </r>
      </text>
    </comment>
    <comment ref="M61" authorId="0" shapeId="0" xr:uid="{00000000-0006-0000-0900-000014000000}">
      <text>
        <r>
          <rPr>
            <b/>
            <sz val="9"/>
            <color indexed="81"/>
            <rFont val="Tahoma"/>
            <family val="2"/>
          </rPr>
          <t>Eva Laci:</t>
        </r>
        <r>
          <rPr>
            <sz val="9"/>
            <color indexed="81"/>
            <rFont val="Tahoma"/>
            <family val="2"/>
          </rPr>
          <t xml:space="preserve">
leje ndertimore</t>
        </r>
      </text>
    </comment>
    <comment ref="O61" authorId="0" shapeId="0" xr:uid="{00000000-0006-0000-0900-000015000000}">
      <text>
        <r>
          <rPr>
            <b/>
            <sz val="9"/>
            <color indexed="81"/>
            <rFont val="Tahoma"/>
            <family val="2"/>
          </rPr>
          <t>Eva Laci:</t>
        </r>
        <r>
          <rPr>
            <sz val="9"/>
            <color indexed="81"/>
            <rFont val="Tahoma"/>
            <family val="2"/>
          </rPr>
          <t xml:space="preserve">
pagesa katering</t>
        </r>
      </text>
    </comment>
    <comment ref="I62" authorId="0" shapeId="0" xr:uid="{00000000-0006-0000-0900-000016000000}">
      <text>
        <r>
          <rPr>
            <b/>
            <sz val="9"/>
            <color indexed="81"/>
            <rFont val="Tahoma"/>
            <family val="2"/>
          </rPr>
          <t>Eva Laci:</t>
        </r>
        <r>
          <rPr>
            <sz val="9"/>
            <color indexed="81"/>
            <rFont val="Tahoma"/>
            <family val="2"/>
          </rPr>
          <t xml:space="preserve">
leje ndertimore</t>
        </r>
      </text>
    </comment>
    <comment ref="K62" authorId="0" shapeId="0" xr:uid="{00000000-0006-0000-0900-000017000000}">
      <text>
        <r>
          <rPr>
            <b/>
            <sz val="9"/>
            <color indexed="81"/>
            <rFont val="Tahoma"/>
            <family val="2"/>
          </rPr>
          <t>Eva Laci:</t>
        </r>
        <r>
          <rPr>
            <sz val="9"/>
            <color indexed="81"/>
            <rFont val="Tahoma"/>
            <family val="2"/>
          </rPr>
          <t xml:space="preserve">
leje ndertimore</t>
        </r>
      </text>
    </comment>
    <comment ref="M62" authorId="0" shapeId="0" xr:uid="{00000000-0006-0000-0900-000018000000}">
      <text>
        <r>
          <rPr>
            <b/>
            <sz val="9"/>
            <color indexed="81"/>
            <rFont val="Tahoma"/>
            <family val="2"/>
          </rPr>
          <t>Eva Laci:</t>
        </r>
        <r>
          <rPr>
            <sz val="9"/>
            <color indexed="81"/>
            <rFont val="Tahoma"/>
            <family val="2"/>
          </rPr>
          <t xml:space="preserve">
leje ndertimore</t>
        </r>
      </text>
    </comment>
    <comment ref="O62" authorId="0" shapeId="0" xr:uid="{00000000-0006-0000-0900-000019000000}">
      <text>
        <r>
          <rPr>
            <b/>
            <sz val="9"/>
            <color indexed="81"/>
            <rFont val="Tahoma"/>
            <family val="2"/>
          </rPr>
          <t>Eva Laci:</t>
        </r>
        <r>
          <rPr>
            <sz val="9"/>
            <color indexed="81"/>
            <rFont val="Tahoma"/>
            <family val="2"/>
          </rPr>
          <t xml:space="preserve">
pagesa katering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HP</author>
  </authors>
  <commentList>
    <comment ref="C46" authorId="0" shapeId="0" xr:uid="{00000000-0006-0000-0D00-000001000000}">
      <text>
        <r>
          <rPr>
            <b/>
            <sz val="9"/>
            <color indexed="81"/>
            <rFont val="Tahoma"/>
            <charset val="1"/>
          </rPr>
          <t>HP:</t>
        </r>
        <r>
          <rPr>
            <sz val="9"/>
            <color indexed="81"/>
            <rFont val="Tahoma"/>
            <charset val="1"/>
          </rPr>
          <t xml:space="preserve">
NDERKOMB 602+606</t>
        </r>
      </text>
    </comment>
  </commentList>
</comments>
</file>

<file path=xl/sharedStrings.xml><?xml version="1.0" encoding="utf-8"?>
<sst xmlns="http://schemas.openxmlformats.org/spreadsheetml/2006/main" count="1093" uniqueCount="501">
  <si>
    <t xml:space="preserve">Tabela nr. 15: Mbi numrin e studenteve te ciklit te pare qe perfitojne burse sipas VKM nr. 903, date 21.12.2016 (perditesuar) te ndara sipas kritereve. </t>
  </si>
  <si>
    <t>Fakultetet</t>
  </si>
  <si>
    <t>FSP</t>
  </si>
  <si>
    <t>FTI</t>
  </si>
  <si>
    <t>FB</t>
  </si>
  <si>
    <t>FE</t>
  </si>
  <si>
    <t>FSHPJ</t>
  </si>
  <si>
    <t>NUMRI I STUDENTËVE TË CIKLIT TË PARË QË PËRFITOJNË BURSË SIPAS VKM NR. 903,                                                                                        DATË 21.12.2016 (PËRDITËSUAR) TË NDARA SIPAS KRITEREVE</t>
  </si>
  <si>
    <t>Emërtimi I Programit të Studimit</t>
  </si>
  <si>
    <t>Lloji I Programit të Studimit</t>
  </si>
  <si>
    <t xml:space="preserve">Numri I studentëve të pranuar në vitin e parë akademik, në programet e studimeve profesionale, programet e ciklit të parë të studimeve dhe programet e integruara të studimeve në institucionet publike të arsimit të lartë, me notë mesatare vjetore nga 9 deri në 10 nga sistemi i arsimit të mesëm të lartë. </t>
  </si>
  <si>
    <t xml:space="preserve">Numri I studentëve të regjistruar në programet e studimeve profesionale, programet e ciklit të parë të studimeve, programet e integruara të studimeve në institucionet publike të arsimit të lartë, në vitet pas të parit, me notë mesatare vjetore të ponderuar nga 9 deri në 10, të vitit paraardhës akademik të përllogaritur me kreditet dhe notat e atij viti akademik nga institucionet publike të arsimit të lartë. </t>
  </si>
  <si>
    <t>Numri i studentëve, të cilët janë të tretët e lart në rradhën e fëmijëve në familje me tre fëmijë a më shumë, nga të cilët dy të parët janë student në insitucionet publike të arsimit të lartë</t>
  </si>
  <si>
    <t xml:space="preserve">Numri i studentëve, që i kanë të dy prindërit pensionistë ose njërin prind pensionist dhe prindi tjetër nuk jeton. </t>
  </si>
  <si>
    <t xml:space="preserve">Numri i studentëve, familjet e të cilëve trajtohen me ndihmë ekonomike. </t>
  </si>
  <si>
    <t xml:space="preserve">Numri i studentëve bashkëshortë që kanë fëmijë (përfiton secili bursë). </t>
  </si>
  <si>
    <t xml:space="preserve">Numri i studentëve, persona me aftesi të kufizuara, të vertetuar nga KMCAP, përfitues të pagesës së aftësisë së kufizuar. </t>
  </si>
  <si>
    <t xml:space="preserve">Numri i studentëve, që i kanë të dy prindërit me aftësi të kufizuara, të vërtetuar me vendim të KMCAP, përfitues të pagesës së aftësisë së kufizuar. </t>
  </si>
  <si>
    <t>Numri i studentëve, të cilët kanë përfituar statusin e jetimit, deri në moshën 25 vjeç</t>
  </si>
  <si>
    <t>Numri i studentëve, të cilët kanë humbur kujdestarinë prindërore me vendim gjykate të formës së prerë, deri në moshën 25 vjeç</t>
  </si>
  <si>
    <t>Numri i studentëve, të cilët janë identifikuar si viktima të trafikut të qënieve njerëzore dhe kanë përfituar statusin ligjor për trajtimin si viktima të trafikut të qënieve njerëzore, deri në moshën 25 vjeç</t>
  </si>
  <si>
    <t>Numri i studentëve, të cilët janë fëmijë të punonjësve të Policisë së Shtetit, të Gardës së Republikës së Shqipërisë, të Shërbimit për Çështjet e Brendshme dhe Ankesat, të Shërbimit të Mbrojtjes nga Zjarri dhe Shpëtimin, të Forcave të Armatosura, të Shërbimit Informativ të Shtetit dhe të Policisë së Burgjeve, që kanë humbur jetën në krye dhe për shkak të detyrës</t>
  </si>
  <si>
    <t>Totali</t>
  </si>
  <si>
    <t>NUMRI I STUDENTËVE TË CIKLIT TË PARË QË PAGUAJNË TARIFË (50% ose 100%) SIPAS VKM NR. 288, DATË 21.05.2018 (PËRDITËSUAR) TË NDARË SIPAS KRITEREVE</t>
  </si>
  <si>
    <t>Emërtimi i Programit të Studimit</t>
  </si>
  <si>
    <t>Lloji i Programit të Studimit</t>
  </si>
  <si>
    <r>
      <t xml:space="preserve">Numri i studentëve që pranohen në studimet në institucionet publike të arsimit të lartë, në një program të ciklit të parë të studimeve, në një program të integruar të studimeve ose në një program të studimeve profesionale me kohë të plotë, </t>
    </r>
    <r>
      <rPr>
        <b/>
        <sz val="11"/>
        <color theme="1"/>
        <rFont val="Times New Roman"/>
        <family val="1"/>
      </rPr>
      <t>paguajnë tarifë në masën 50%</t>
    </r>
    <r>
      <rPr>
        <sz val="11"/>
        <color theme="1"/>
        <rFont val="Times New Roman"/>
        <family val="1"/>
      </rPr>
      <t xml:space="preserve"> të vlerave të pasqyruara në tabelën nr. 1, që i bashkëlidhet VKM, Nr. 288, datë 21.05.2018. </t>
    </r>
  </si>
  <si>
    <r>
      <t xml:space="preserve">Numri i studentëve që rezultojnë me </t>
    </r>
    <r>
      <rPr>
        <b/>
        <sz val="11"/>
        <color theme="1"/>
        <rFont val="Times New Roman"/>
        <family val="1"/>
      </rPr>
      <t>notë mesatare më të madhe ose të barabartë me 6</t>
    </r>
    <r>
      <rPr>
        <sz val="11"/>
        <color theme="1"/>
        <rFont val="Times New Roman"/>
        <family val="1"/>
      </rPr>
      <t xml:space="preserve"> në përfundim të vitit të parë akademik dhe në vijim, që ndjekin studimet në një program të ciklit të parë të studimeve, në një program të integruar të studimeve ose në një program të studimeve profesionale me kohë të plotë, paguajnë </t>
    </r>
    <r>
      <rPr>
        <b/>
        <sz val="11"/>
        <color theme="1"/>
        <rFont val="Times New Roman"/>
        <family val="1"/>
      </rPr>
      <t>tarifë në masën 50 %</t>
    </r>
    <r>
      <rPr>
        <sz val="11"/>
        <color theme="1"/>
        <rFont val="Times New Roman"/>
        <family val="1"/>
      </rPr>
      <t xml:space="preserve"> të vlerave të pasqyruara në tabelën nr. 1, që i bashkëlidhet VKM, Nr. 288, datë 21.05.2018. </t>
    </r>
  </si>
  <si>
    <r>
      <t xml:space="preserve">Numri i studentëve që rezultojnë me </t>
    </r>
    <r>
      <rPr>
        <b/>
        <sz val="11"/>
        <color theme="1"/>
        <rFont val="Times New Roman"/>
        <family val="1"/>
      </rPr>
      <t>notë mesatare nën 6</t>
    </r>
    <r>
      <rPr>
        <sz val="11"/>
        <color theme="1"/>
        <rFont val="Times New Roman"/>
        <family val="1"/>
      </rPr>
      <t xml:space="preserve"> në përfundim të vitit të parë akademik dhe në vijim, që ndjekin studimet në një program të ciklit të parë të studimeve, në një program të integruar të studimeve ose në një program të studimeve profesionale me kohë të plotë, paguajnë </t>
    </r>
    <r>
      <rPr>
        <b/>
        <sz val="11"/>
        <color theme="1"/>
        <rFont val="Times New Roman"/>
        <family val="1"/>
      </rPr>
      <t>tarifën e plotë të studimit</t>
    </r>
    <r>
      <rPr>
        <sz val="11"/>
        <color theme="1"/>
        <rFont val="Times New Roman"/>
        <family val="1"/>
      </rPr>
      <t xml:space="preserve"> sipas vlerave të pasqyruara në tabelën nr. 1, që i bashkëlidhet VKM, Nr. 288, datë 21.05.2018. </t>
    </r>
  </si>
  <si>
    <t xml:space="preserve">Tabela nr. 17: Mbi numrin e studenteve te ciklit te pare qe perjashtohen nga tarifa vjetore e shkollimit, sipas VKM nr. 269,  date 29.03.2017 (perditesuar) te ndara sipas kritereve. </t>
  </si>
  <si>
    <t>Numri I studentëve romë dhe egjiptianë, të cilët do të identifikohen nëpërmjet vetëdeklarimit</t>
  </si>
  <si>
    <t>Studentët, fëmijë të ish - të dënuarve dhe të përndjekurve politikë nga sistemi komunist ose fëmijë me prindër të dënuar politik me heqje lirie</t>
  </si>
  <si>
    <t xml:space="preserve">Numri i studentëve bashkëshortë që kanë fëmijë (përjashtohet secili nga tarifa). </t>
  </si>
  <si>
    <t xml:space="preserve">Numri i studentëve, që kanë të paktën njërin prind me aftësi të kufizuara, të vërtetuar me vendim të KMCAP, përfitues të pagesës së aftësisë së kufizuar. </t>
  </si>
  <si>
    <t>NUMRI I STUDENTËVE TË CIKLIT TË PARË QË PËRJASHTOHEN NGA TARIFA VJETORE E SHKOLLIMIT, SIPAS VKM NR. 269, DATË 29.03.2017 (PËRDITËSUAR) TË NDARA SIPAS KRITEREVE</t>
  </si>
  <si>
    <t>NUMRI I STUDENTËVE TË CIKLIT TË DYTË QË PAGUAJNË TARIFË (50%), TË NDARA SIPAS KRITEREVE TË VKM NR. 780, DATË 26.12.2018</t>
  </si>
  <si>
    <t>Studentët me aftësi të kufizuara, të vërtetuar me vendim të Komisionit Mjekësor të Caktimit të Aftësisë për Punë, si dhe studentët fëmijë të personave/familjes me aftësi të kufizuara, të vërtetuar me vendim të KMCAP-së për punë, familjet e të cilëve trajtohen/përfitojnë nga ligji nr. 9355, datë 10.3.2005, “Për ndihmën dhe shërbimet shoqërore”, të ndryshuar, ndihmë ekonomike të plotë apo të pjesshme nga njësitë e vetëqeverisjes vendore</t>
  </si>
  <si>
    <t>Studentët, familjet e të cilëve trajtohen / përfitojnë ndihmë ekonomike të plotë apo të pjesshme nga njësitë bazë të vetëqeverisjes vendore, si dhe studentëve deri në moshën 25 vjeç, që kanë vetëm njërin nga prindërit, pasi prindi tjetër është ndarë nga jeta, me të ardhura vjetore të familjes të pamjaftueshme për përballimin e kostos së studimeve</t>
  </si>
  <si>
    <t>Studentët, që kanë përfituar statusin e jetimit, deri në moshën 25 vjeç</t>
  </si>
  <si>
    <t>Studentët deri në moshën 25 vjeç, që kanë humbur kujdestarinë prindërore me vendim gjykate të formës së prerë</t>
  </si>
  <si>
    <t>Studentët deri në moshën 25 vjeç, që janë identifikuar si viktima të trafikut të qenieve njerëzore dhe kanë përfituar statusin ligjor për trajtim si viktima të trafikut të qenieve njerëzore</t>
  </si>
  <si>
    <t>Studentët fëmijë të punonjësve të Policisë së Shtetit, të Gardës së Republikës, të Shërbimit të Kontrollit të Brendshëm, të Policisë së Mbrojtjes nga Zjarri dhe të Shpëtimit, të Forcave të Armatosura, të Shërbimit Informativ Shtetëror dhe të Policisë së Burgjeve, që kanë humbur jetën në krye dhe për shkak të detyrës, të konfirmuar nga ministria përgjegjëse për punët e brendshme dhe ajo e mbrojtjes</t>
  </si>
  <si>
    <t>Studentët romë dhe ballkano-egjiptianët, të konfirmuar si të tillë nga ministria përgjegjëse për mirëqenien sociale</t>
  </si>
  <si>
    <t>Studentët fëmijë të ish-të dënuarve dhe të përndjekurve politikë nga sistemi komunist ose fëmijë me prindër të dënuar politikë me heqje lirie</t>
  </si>
  <si>
    <t xml:space="preserve">Numri I studentëve që fillojnë vitin e parë të ciklit të dytë të studimeve në institucionet publike të arsimit të lartë dhe që kanë përfunduar ciklin e parë të studimeve në institucionet publike të arsimit të lartë me notën mesatare vjetore 9 deri në 10. </t>
  </si>
  <si>
    <t xml:space="preserve">Tabela nr. 18: Mbi numrin e studenteve te ciklit te dyte qe paguajne tarife (50%), te ndara sipas kritereve te VKM nr. 780,  date 26.12.2018  . </t>
  </si>
  <si>
    <t>Fakulteti</t>
  </si>
  <si>
    <t>Cikli i Programit të Studimit</t>
  </si>
  <si>
    <t xml:space="preserve">Është program prioritar apo jo </t>
  </si>
  <si>
    <t>Nr. Studentësh të regjistruar</t>
  </si>
  <si>
    <t>Nr. Studentësh të shkëlqyer</t>
  </si>
  <si>
    <t>Nr. Studentësh përsëritës</t>
  </si>
  <si>
    <t>Vlera</t>
  </si>
  <si>
    <t>Nr studentësh</t>
  </si>
  <si>
    <t>VKM nr. 288, datë 21.05.2018</t>
  </si>
  <si>
    <t>VKM nr. 386, datë 01.06.2022</t>
  </si>
  <si>
    <t>TOTALI</t>
  </si>
  <si>
    <t>EMËRTIMI</t>
  </si>
  <si>
    <t>Efektet financiare nga VKM-të</t>
  </si>
  <si>
    <t xml:space="preserve">Nr. </t>
  </si>
  <si>
    <t>Lloji i programit (Bachelor/ Master profesional/ Master Shkencor/ Integruar</t>
  </si>
  <si>
    <t>Nr. Kredite të Programit të Studimit</t>
  </si>
  <si>
    <t>Program i parë studimi</t>
  </si>
  <si>
    <t>Program i dytë studimi</t>
  </si>
  <si>
    <t xml:space="preserve">Administrim  biznesi </t>
  </si>
  <si>
    <t>Bankë -Financë</t>
  </si>
  <si>
    <t>Financë  kontabilitet</t>
  </si>
  <si>
    <t>Menaxhim Marketing</t>
  </si>
  <si>
    <t xml:space="preserve">Shkenca  Ekonomike </t>
  </si>
  <si>
    <t>Komunikim  dhe Marketing Digjital</t>
  </si>
  <si>
    <t>Menaxhim turizëm me profil: - Hotel  Restorant</t>
  </si>
  <si>
    <t xml:space="preserve">                      -Turizëm  Arkeologjik</t>
  </si>
  <si>
    <t xml:space="preserve">                      -Turizëm  Kulturor</t>
  </si>
  <si>
    <t>Turizëm  (program i ri)</t>
  </si>
  <si>
    <t xml:space="preserve">Guidë  Turistike </t>
  </si>
  <si>
    <t>Bachelor</t>
  </si>
  <si>
    <t>2-Vjecare profesionale</t>
  </si>
  <si>
    <t xml:space="preserve"> Menaxhim   Biznesi</t>
  </si>
  <si>
    <t xml:space="preserve"> Bankë Financë</t>
  </si>
  <si>
    <t xml:space="preserve"> Ekonomi Biznesi</t>
  </si>
  <si>
    <t>Financë  Kontabilitet</t>
  </si>
  <si>
    <t>Industria sigurimeve dhe Drejtimi Rrezikut</t>
  </si>
  <si>
    <t>Master Shkencor</t>
  </si>
  <si>
    <t xml:space="preserve"> Menaxhim Biznesi </t>
  </si>
  <si>
    <t xml:space="preserve"> Menaxhim Marketing</t>
  </si>
  <si>
    <t xml:space="preserve"> Bankë Financë </t>
  </si>
  <si>
    <t>Drejtim i SME</t>
  </si>
  <si>
    <t xml:space="preserve">Sisteme të sigurimit të jetës, jo jetës </t>
  </si>
  <si>
    <t>Guide Turistike Shqiptare</t>
  </si>
  <si>
    <t xml:space="preserve">Drejtim I Nderrmarjeve Turistike </t>
  </si>
  <si>
    <t xml:space="preserve">Menaxhim   i Sipërmarjeve  Turistike </t>
  </si>
  <si>
    <t>Drejtim turizmi</t>
  </si>
  <si>
    <t>Master Profesional</t>
  </si>
  <si>
    <t>Drejtesi</t>
  </si>
  <si>
    <t>Shkenca Politike</t>
  </si>
  <si>
    <t xml:space="preserve">Administrim Publik </t>
  </si>
  <si>
    <t>Politikë  ekonomike</t>
  </si>
  <si>
    <t>Mardhënie me publikun</t>
  </si>
  <si>
    <t>Histori</t>
  </si>
  <si>
    <t xml:space="preserve">Histori dhe Marrdhenie  Nderkombetare </t>
  </si>
  <si>
    <t>Bashkepunim dhe Zhvillim Ekonomik</t>
  </si>
  <si>
    <t xml:space="preserve">Pol. &amp; admin me profil: -Administrim Publik </t>
  </si>
  <si>
    <t xml:space="preserve">       - Administrim Financiar</t>
  </si>
  <si>
    <t>E drejtë  private</t>
  </si>
  <si>
    <t>E drejtë publike ndërkombetare</t>
  </si>
  <si>
    <t xml:space="preserve">Histori </t>
  </si>
  <si>
    <t>Mardhënie Ndërkombetare dhe Diplomaci</t>
  </si>
  <si>
    <t xml:space="preserve">Gjeopolitika dhe sistemet e sigurise </t>
  </si>
  <si>
    <t xml:space="preserve">Politika dhe adm. me profil: -Administrim Publik </t>
  </si>
  <si>
    <t xml:space="preserve">           -Administrim finaciar</t>
  </si>
  <si>
    <t xml:space="preserve">            -Drejtim turizmi</t>
  </si>
  <si>
    <t>E drejtë ndërkombetare tregtare</t>
  </si>
  <si>
    <t>E drejtë  detare</t>
  </si>
  <si>
    <t>E drejtë  prone</t>
  </si>
  <si>
    <t xml:space="preserve">Politikat Publike </t>
  </si>
  <si>
    <t>Komunikim Publik</t>
  </si>
  <si>
    <t xml:space="preserve"> Arsim Fillor </t>
  </si>
  <si>
    <t>Gjuhë Angleze</t>
  </si>
  <si>
    <t>Ekspert Procese Formimi</t>
  </si>
  <si>
    <t>Filozofi  sociologji</t>
  </si>
  <si>
    <t>Gjuhë Letërsi Anglisht</t>
  </si>
  <si>
    <t xml:space="preserve">Psikologji  Sociologji </t>
  </si>
  <si>
    <t xml:space="preserve">Psikologji  </t>
  </si>
  <si>
    <t>Arsim  parashkollor</t>
  </si>
  <si>
    <t>Gjuhë Gjermane  dhe Angleze</t>
  </si>
  <si>
    <t>Edukator për moshen 0-3vjeç</t>
  </si>
  <si>
    <t>Kujdestar për moshën e tretë</t>
  </si>
  <si>
    <t>Menaxhim dhe supervizim instituc. Arsim</t>
  </si>
  <si>
    <t xml:space="preserve">Edukim  në vazhdim </t>
  </si>
  <si>
    <t>Mësimdhënie në gjuhë letërsi anglisht</t>
  </si>
  <si>
    <t xml:space="preserve">Mësues i Shkencave  Sociale </t>
  </si>
  <si>
    <t>Mësimdhënie në Psikologji sociologji</t>
  </si>
  <si>
    <t>Mesuesi per Arsim fillor, Kl I-VI</t>
  </si>
  <si>
    <t>Didaktikë</t>
  </si>
  <si>
    <t>Mësues  për Gjuhë shqipe  dhe Letërsi</t>
  </si>
  <si>
    <t>Mësues i  gjuhës  angleze</t>
  </si>
  <si>
    <t>Mësuesi për Arsim fillor</t>
  </si>
  <si>
    <t>Psikologji Shkollore dhe Zhvillimore</t>
  </si>
  <si>
    <t xml:space="preserve">Sherbime Sociale e Komunitare </t>
  </si>
  <si>
    <t>Mesues I Gjuhes Gjermane</t>
  </si>
  <si>
    <t>Infermieri e Përgjithshme</t>
  </si>
  <si>
    <t>Mami</t>
  </si>
  <si>
    <t>Fizioterapi</t>
  </si>
  <si>
    <t>Navigacion dhe menaxhim detar</t>
  </si>
  <si>
    <t>  Menaxhimi i Bankave</t>
  </si>
  <si>
    <t>  Menaxhim i Hoteleri- Turizëm</t>
  </si>
  <si>
    <t> Menaxhim i NVM</t>
  </si>
  <si>
    <t>Asistent Ligjor</t>
  </si>
  <si>
    <t>Asistent Administrativ</t>
  </si>
  <si>
    <t>Ndihmës Dentist</t>
  </si>
  <si>
    <t xml:space="preserve">Specialist Rrjetesh Kompjuterike </t>
  </si>
  <si>
    <t>Menaxhim Transporti Detar /Tokësor</t>
  </si>
  <si>
    <t>Menaxhim Ndërtimi</t>
  </si>
  <si>
    <t>Teknologji Automobilash</t>
  </si>
  <si>
    <t>Informatikë -Praktike</t>
  </si>
  <si>
    <t>Hidroteknik ujësjellës kanalizime</t>
  </si>
  <si>
    <t xml:space="preserve">Mekanik Detar </t>
  </si>
  <si>
    <t>Specialist Sistemeve te Kondicionimit</t>
  </si>
  <si>
    <t xml:space="preserve">Mekanik Impjantesh Industriale e Bujqesore </t>
  </si>
  <si>
    <t>Teknik  elektrik</t>
  </si>
  <si>
    <t>Infermieri kirurgjikale</t>
  </si>
  <si>
    <t xml:space="preserve">Logjistikë  dhe Siguri  Detare </t>
  </si>
  <si>
    <t>Teknologji Informacioni</t>
  </si>
  <si>
    <t>Sisteme Informacioni</t>
  </si>
  <si>
    <t xml:space="preserve">Shkenca Kompjuterike  </t>
  </si>
  <si>
    <t>Matematikë Informatikë</t>
  </si>
  <si>
    <t>Multimedia &amp; TV Dixhitale</t>
  </si>
  <si>
    <t>Matematikë  Fizikë</t>
  </si>
  <si>
    <t xml:space="preserve">Specialist Pajisjesh Elektronike </t>
  </si>
  <si>
    <t>Aplikacion Web dhe Dizenjim Grafik</t>
  </si>
  <si>
    <t>Shkenca kompjuterike të aplikuara</t>
  </si>
  <si>
    <t xml:space="preserve">Mesuesi Matematikë Informatikë </t>
  </si>
  <si>
    <t>Sistemet  e Planifikimit të Burimeve të Ndërmarjes</t>
  </si>
  <si>
    <t>Multimedia dhe TV Dixhital</t>
  </si>
  <si>
    <t xml:space="preserve">Teknologji Informacioni </t>
  </si>
  <si>
    <t>Shkenca Kompjuterike</t>
  </si>
  <si>
    <t>Matematike Informatike</t>
  </si>
  <si>
    <t>Informatike Anglisht</t>
  </si>
  <si>
    <t>Multimedia dhe Televizion Dixhital</t>
  </si>
  <si>
    <t>Specialist Paisjesh Elektronike</t>
  </si>
  <si>
    <t>Profesionale 2- vjecare</t>
  </si>
  <si>
    <t>FAKULTETI</t>
  </si>
  <si>
    <t xml:space="preserve">Infermieri e Pergjithshme </t>
  </si>
  <si>
    <t>Ndihmes Dentist</t>
  </si>
  <si>
    <t>Navigacion dhe Menaxhim Detar</t>
  </si>
  <si>
    <t>Teknik Elektrik</t>
  </si>
  <si>
    <t>Menaxhim Transporti Detar/Tokesor</t>
  </si>
  <si>
    <t>Menaxhim Ndertimi</t>
  </si>
  <si>
    <t>Hidroteknike Ujesjelles Kanalizime</t>
  </si>
  <si>
    <t>Specialist Rrjetesh kompjuterike</t>
  </si>
  <si>
    <t>Mekanik Impianteve Industriale Bujqesore</t>
  </si>
  <si>
    <t>Mekanike Detare</t>
  </si>
  <si>
    <t>Informatike Praktike</t>
  </si>
  <si>
    <t>Menaxhim I Bankave</t>
  </si>
  <si>
    <t>Menaxhim Hoteleri- Turizem</t>
  </si>
  <si>
    <t xml:space="preserve">Menaxhim I Ndermarrjeve te Vogla dhe te Mesme </t>
  </si>
  <si>
    <t xml:space="preserve">Histori dhe Maredhenie Nderkombetare </t>
  </si>
  <si>
    <t>Marredhenie me publikun</t>
  </si>
  <si>
    <t>Administrim Biznesi</t>
  </si>
  <si>
    <t>Shkenca Ekonomike</t>
  </si>
  <si>
    <t>Finance Kontabilitet</t>
  </si>
  <si>
    <t>Banke Finance</t>
  </si>
  <si>
    <t>Menaxhim Turizem me profil "Menaxhim Hotel Restorant"</t>
  </si>
  <si>
    <t>Guide Turistike</t>
  </si>
  <si>
    <t>Menaxhim Turizem me profil "Menaxhim Turizem Arkeologjik"</t>
  </si>
  <si>
    <t xml:space="preserve">Komunikim dhe Marketing Dixhital </t>
  </si>
  <si>
    <t>Turizem</t>
  </si>
  <si>
    <t>Menaxhim I udhetimeve dhe Turizem</t>
  </si>
  <si>
    <t xml:space="preserve">Filozofi- Sociologji </t>
  </si>
  <si>
    <t>Arsim Fillor</t>
  </si>
  <si>
    <t xml:space="preserve">Arsim Parashkollor </t>
  </si>
  <si>
    <t xml:space="preserve">Psikologji </t>
  </si>
  <si>
    <t>Pune Sociale</t>
  </si>
  <si>
    <t>Gjuhe Angleze</t>
  </si>
  <si>
    <t>Gjuhe Gjermane dhe Angleze</t>
  </si>
  <si>
    <t>Gjuhe Letersi Anglisht</t>
  </si>
  <si>
    <t xml:space="preserve">Edukator per moshen 0-3 vjec </t>
  </si>
  <si>
    <t>Kujdestar per moshen e trete</t>
  </si>
  <si>
    <t>Shkenca Kompjuterike te Aplikuara</t>
  </si>
  <si>
    <t>Mesuesi ne Matematike- Informatike</t>
  </si>
  <si>
    <t>Sistemet e Planifikimit te Burimeve te Ndermarrjes</t>
  </si>
  <si>
    <t>Infermieri Kirurgjikale</t>
  </si>
  <si>
    <t>Logjistike dhe Siguri Detare</t>
  </si>
  <si>
    <t>E Drejte Publike Nderkombetare</t>
  </si>
  <si>
    <t>E Drejte Private</t>
  </si>
  <si>
    <t>Marredhenie Nderkombetare dhe Diplomaci</t>
  </si>
  <si>
    <t>Politikat dhe Administrim me Profil Administrim Financiar</t>
  </si>
  <si>
    <t>Politikat dhe Administrim me Profil Administrim Publik</t>
  </si>
  <si>
    <t>E Drejte e Prones</t>
  </si>
  <si>
    <t>E Drejte Nerkombetare Tregtare</t>
  </si>
  <si>
    <t>Politikat Publike</t>
  </si>
  <si>
    <t>Politikat dhe Administrim me Profil Drejtim Turizmi</t>
  </si>
  <si>
    <t>Menaxhim Biznesi</t>
  </si>
  <si>
    <t>Ekonomi Biznes</t>
  </si>
  <si>
    <t>Finance Banke</t>
  </si>
  <si>
    <t>Industria e Sigurimeve dhe Drejtimi I Rrezikut</t>
  </si>
  <si>
    <t>Menaxhim I Burimeve Njerezore</t>
  </si>
  <si>
    <t>Drejtimi I SME-ve</t>
  </si>
  <si>
    <t>Menaxhim I Sipermarrjeve Turistike</t>
  </si>
  <si>
    <t>Fakulteti I Biznesit</t>
  </si>
  <si>
    <t>Mesues per Arsimin e Mesem te ulet per Gjuhe Shqipe, Letersi dhe Gjuhe Angleze</t>
  </si>
  <si>
    <t>Edukimi ne Vazhdim</t>
  </si>
  <si>
    <t>Menaxhim dhe supervizim I Institucioneve Arsimore</t>
  </si>
  <si>
    <t>Mesues I Shkencave Sociale</t>
  </si>
  <si>
    <t>Mesues per Gjuhen Shqipe dhe Letersine</t>
  </si>
  <si>
    <t>Redaktori</t>
  </si>
  <si>
    <t>Sherbime Sociale dhe Komunitare</t>
  </si>
  <si>
    <t>Mesues I Gjuhes Angleze</t>
  </si>
  <si>
    <t>Didaktike</t>
  </si>
  <si>
    <t>Mesues per Edukimin Special</t>
  </si>
  <si>
    <t>Mesues per Arsim Fillor</t>
  </si>
  <si>
    <t>Fakulteti I Teknologjise se Informacionit</t>
  </si>
  <si>
    <t>Fakulteti I Studimeve Profesionale</t>
  </si>
  <si>
    <t>Fakulteti I Shkencave Politike Juridike</t>
  </si>
  <si>
    <t>Fakulteti I Edukimit</t>
  </si>
  <si>
    <t xml:space="preserve">VKM nr. 903, datë 21.12.2016 </t>
  </si>
  <si>
    <t>VKM nr. 269, datë 29.03.2017</t>
  </si>
  <si>
    <t>JO-PRIORITAR</t>
  </si>
  <si>
    <t>PRIORITAR</t>
  </si>
  <si>
    <t>Viti Aktual 22-23</t>
  </si>
  <si>
    <t>Viti Paraardhës 21-22</t>
  </si>
  <si>
    <t>Viti Pasaardhës 23-24</t>
  </si>
  <si>
    <t>Tabela nr. 16: Mbi numrin e studentëve të ciklit të parë që paguajnë tarifë (50 % ose 100 %) sipas VKM nr. 288, datë 21.05.2018 (përditësuar) të ndarë sipas kritereve viti akademik 2022-2023</t>
  </si>
  <si>
    <t>VITI AKADEMIK 2022 - 2023</t>
  </si>
  <si>
    <t>TOTAL UAMD</t>
  </si>
  <si>
    <t>TOTAL  UAMD</t>
  </si>
  <si>
    <t>VITI 2022-2023</t>
  </si>
  <si>
    <t>BURSA</t>
  </si>
  <si>
    <t xml:space="preserve">TABELA 21   - PJESA E DYTE </t>
  </si>
  <si>
    <t>VKM NR. 780, DATË 26.12.2018</t>
  </si>
  <si>
    <t>Emertimi I projektit</t>
  </si>
  <si>
    <t>Viti Parashikim 2024</t>
  </si>
  <si>
    <t>Granti per Mesimdhenien</t>
  </si>
  <si>
    <t>Granti per Punen Kerkimore</t>
  </si>
  <si>
    <t>Disbursime te projekteve te huaja</t>
  </si>
  <si>
    <t>Viti Paraardhes 2022</t>
  </si>
  <si>
    <t>Viti Aktual  2023</t>
  </si>
  <si>
    <t>Viti Pasardhes 2024</t>
  </si>
  <si>
    <t>Disbursime te huaja per shpenzime korente</t>
  </si>
  <si>
    <t>Disbursime te huaja per investime</t>
  </si>
  <si>
    <t>Rimbursim nga donatori</t>
  </si>
  <si>
    <t>Viti Pasardhes</t>
  </si>
  <si>
    <t>Kostot Lokale per Projektet me Financim te Huaj</t>
  </si>
  <si>
    <t>Qera</t>
  </si>
  <si>
    <t>Profesionale 2-vjecare</t>
  </si>
  <si>
    <t>DIND</t>
  </si>
  <si>
    <t>Master I Shkencave</t>
  </si>
  <si>
    <t>Doktorature</t>
  </si>
  <si>
    <t>Trajnimi mesuesve</t>
  </si>
  <si>
    <t>Libreza Diploma etj.</t>
  </si>
  <si>
    <t>Leshim dokumenti</t>
  </si>
  <si>
    <t>Takse regjistrimi</t>
  </si>
  <si>
    <t>Tarifa konkurrimi</t>
  </si>
  <si>
    <t>Tjera - sherbime</t>
  </si>
  <si>
    <t>Pjesm. konferenca</t>
  </si>
  <si>
    <t>Sponsorizime</t>
  </si>
  <si>
    <t>Paga e shperblime</t>
  </si>
  <si>
    <t>Pagat</t>
  </si>
  <si>
    <t>Honorare - oret</t>
  </si>
  <si>
    <t>Sig.Shoqerore</t>
  </si>
  <si>
    <t>Shpenzime operative</t>
  </si>
  <si>
    <t>Transf. me jashte</t>
  </si>
  <si>
    <t>Transf._individet</t>
  </si>
  <si>
    <t>Bursa</t>
  </si>
  <si>
    <t>Investime</t>
  </si>
  <si>
    <t>Studim projektime, softe</t>
  </si>
  <si>
    <t>Studime e projektime</t>
  </si>
  <si>
    <t>Patenta, soffte kompjuterike</t>
  </si>
  <si>
    <t>Investime trupez.</t>
  </si>
  <si>
    <t>Ndertime te reja</t>
  </si>
  <si>
    <t>Rikonstruksione</t>
  </si>
  <si>
    <t>Instalime rrjete</t>
  </si>
  <si>
    <t>Makineri teknologjike</t>
  </si>
  <si>
    <t>Paisje profesionale</t>
  </si>
  <si>
    <t>Paisje inventar ekonomik</t>
  </si>
  <si>
    <t>Mjete transporti</t>
  </si>
  <si>
    <t>Shpenzime korente</t>
  </si>
  <si>
    <t>Ridisbursim I projekt huaj</t>
  </si>
  <si>
    <t>Tabela nr.22: Per planin buxhetor njevjecar</t>
  </si>
  <si>
    <t>Nr</t>
  </si>
  <si>
    <t>Emertimi I Projektit</t>
  </si>
  <si>
    <t>Mbartur nga viti paraardhes</t>
  </si>
  <si>
    <t>Buxheti vitit</t>
  </si>
  <si>
    <t>Financimi nga Buxheti I Shtetit</t>
  </si>
  <si>
    <t>Granti mesimdhenies</t>
  </si>
  <si>
    <t>Granti I bursave te studenteve cikli pare</t>
  </si>
  <si>
    <t>Granti Konkurrues</t>
  </si>
  <si>
    <t>Granti Kerkimit shkencor</t>
  </si>
  <si>
    <t>TVSH- Projekte te huaja</t>
  </si>
  <si>
    <t>Disbursimet nga projektet me financim te huaj</t>
  </si>
  <si>
    <t>Disbursime te huaja per invstime</t>
  </si>
  <si>
    <t>Te ardhura te institucionit - Fonde te kushtezuar</t>
  </si>
  <si>
    <t>Te ardhura per shpenzime korente</t>
  </si>
  <si>
    <t>Te ardhura per investime</t>
  </si>
  <si>
    <t>Te ardhura per kerkim shkencor</t>
  </si>
  <si>
    <r>
      <rPr>
        <b/>
        <sz val="11"/>
        <color theme="1"/>
        <rFont val="Calibri"/>
        <family val="2"/>
        <scheme val="minor"/>
      </rPr>
      <t>Plani buxhetor njevjecar I te ardhurave</t>
    </r>
    <r>
      <rPr>
        <sz val="11"/>
        <color theme="1"/>
        <rFont val="Calibri"/>
        <family val="2"/>
        <scheme val="minor"/>
      </rPr>
      <t xml:space="preserve">                                      000/leke</t>
    </r>
  </si>
  <si>
    <t>Emertimi shpenzimit</t>
  </si>
  <si>
    <t>Grant</t>
  </si>
  <si>
    <t>Te ardhura</t>
  </si>
  <si>
    <t>Kerkimi shkencor</t>
  </si>
  <si>
    <t>a</t>
  </si>
  <si>
    <t>Studim projektime, soffte</t>
  </si>
  <si>
    <t>b</t>
  </si>
  <si>
    <t>Investim e trupez</t>
  </si>
  <si>
    <t xml:space="preserve">Paisje profesionale </t>
  </si>
  <si>
    <t>Projekte te huaja</t>
  </si>
  <si>
    <t>Shpenzime investime</t>
  </si>
  <si>
    <r>
      <rPr>
        <b/>
        <sz val="11"/>
        <color theme="1"/>
        <rFont val="Calibri"/>
        <family val="2"/>
        <scheme val="minor"/>
      </rPr>
      <t>Plani buxhetor njevjecar I te ardhurave</t>
    </r>
    <r>
      <rPr>
        <sz val="11"/>
        <color theme="1"/>
        <rFont val="Calibri"/>
        <family val="2"/>
        <scheme val="minor"/>
      </rPr>
      <t xml:space="preserve">    01 01.2023 - 2023   NE 000/leke</t>
    </r>
  </si>
  <si>
    <t xml:space="preserve">Tabela nr. 21: </t>
  </si>
  <si>
    <t>Te dhena per planin buxhetor afatmesem, planin buxhetor njevjecar dhe planin strategjik te zhvillimit te Institucionit</t>
  </si>
  <si>
    <t>Te dhena per planin Buxhetor Afatmesem (ne 000/leke(</t>
  </si>
  <si>
    <t>Viti Aktual ( I pritshmi 2023(</t>
  </si>
  <si>
    <t>Fondet nga te ardhurat te perdoruara per shpenzime korente</t>
  </si>
  <si>
    <t>Fonde nga te ardhurat te perdoruara per investime</t>
  </si>
  <si>
    <t>TOTALI SHPENZIME NGA TE ARDHURAT</t>
  </si>
  <si>
    <t>TE ARDHURA TE ARKETUARA</t>
  </si>
  <si>
    <t>Te ardhurat (ne 000 LEKE(</t>
  </si>
  <si>
    <t>Viti Aktual I pritshmi 2023</t>
  </si>
  <si>
    <t>Shpenzime nga te ardhurat  ne 000 leke</t>
  </si>
  <si>
    <t>I.1   Paga e shperblime</t>
  </si>
  <si>
    <t>I.2  Sig.Shoqerore</t>
  </si>
  <si>
    <t>I.3   Shpenzime operative</t>
  </si>
  <si>
    <t>Te tjera transferime</t>
  </si>
  <si>
    <t>I.4  Transf. me jashte</t>
  </si>
  <si>
    <t>I.5  Transf._individet</t>
  </si>
  <si>
    <t xml:space="preserve">I.6  Kerkimi shkencor </t>
  </si>
  <si>
    <t>II.   INVESTIME</t>
  </si>
  <si>
    <t>I.  FONDE NGA TE ARDHURAT PER SHPENZIME KORENTE</t>
  </si>
  <si>
    <t>Shpenzime Investime per kerkimin shkencor</t>
  </si>
  <si>
    <t>TOTAL SHPENZIME NGA TE ARDHURAT</t>
  </si>
  <si>
    <r>
      <rPr>
        <b/>
        <sz val="11"/>
        <color theme="1"/>
        <rFont val="Calibri"/>
        <family val="2"/>
        <scheme val="minor"/>
      </rPr>
      <t>Plani buxhetor njevjecar I te ardhurave</t>
    </r>
    <r>
      <rPr>
        <sz val="11"/>
        <color theme="1"/>
        <rFont val="Calibri"/>
        <family val="2"/>
        <scheme val="minor"/>
      </rPr>
      <t xml:space="preserve">    01 01.2022 - 2022  NE 000/leke</t>
    </r>
  </si>
  <si>
    <t>perfshire edhe projektet e nderkobetarizmit</t>
  </si>
  <si>
    <t>P/Huaja</t>
  </si>
  <si>
    <t>TOTALI  SHPENZIMEVE VJETORE</t>
  </si>
  <si>
    <t>Kerkimi shkencor shpenzime operative</t>
  </si>
  <si>
    <t>Kerkimi shkencor  investime</t>
  </si>
  <si>
    <t>( ne leke)</t>
  </si>
  <si>
    <t xml:space="preserve">Pershkrimi (sipas kombinimit te struktures kontabel) </t>
  </si>
  <si>
    <t>Janar 2022</t>
  </si>
  <si>
    <t>Shkurt 2022</t>
  </si>
  <si>
    <t>Mars  2022</t>
  </si>
  <si>
    <t>Prill  2022</t>
  </si>
  <si>
    <t>Maj  2022</t>
  </si>
  <si>
    <t>Qershor  2022</t>
  </si>
  <si>
    <t>Korrik   2022</t>
  </si>
  <si>
    <t>Gusht   2022</t>
  </si>
  <si>
    <t>Shtator   2022</t>
  </si>
  <si>
    <t>Tetor  2022</t>
  </si>
  <si>
    <t>Nentor  2022</t>
  </si>
  <si>
    <t>Dhjetor  2022</t>
  </si>
  <si>
    <t>PROGRESIVI  12   MUJORI  2022</t>
  </si>
  <si>
    <t>Plan</t>
  </si>
  <si>
    <t>Fakt</t>
  </si>
  <si>
    <t>TE ARDHURAT</t>
  </si>
  <si>
    <t>Te ardhura nga Tarifa  e regjistrimit</t>
  </si>
  <si>
    <t>Te ardhura nga konkurset e pranimit</t>
  </si>
  <si>
    <t>Te ardhura nga Tarifa  shkollimit per te gjitha ciklet e studimit</t>
  </si>
  <si>
    <t>Te ardhura nga qerate</t>
  </si>
  <si>
    <t>Te ardhura nga sherbimit e ndryshme te IAL-ve</t>
  </si>
  <si>
    <t>Te ardhura nga donatore, sponsorizime</t>
  </si>
  <si>
    <t>Te ardhura nga projektet me financim te brendshem apo te huaj</t>
  </si>
  <si>
    <t>Te ardhura nga veprimtarite kerkimore</t>
  </si>
  <si>
    <t>Te ardhura te tjera (ne varesi te dinamikes se veprimtarise se IAL-ve)</t>
  </si>
  <si>
    <t>Shpenzimet nga Granti I Buxhetit te Shtetit</t>
  </si>
  <si>
    <t xml:space="preserve">Shpenzimet per ndertim </t>
  </si>
  <si>
    <t>Shpenzimet per rikonstruksion</t>
  </si>
  <si>
    <t>Shpenzimet per blerje biblioteka</t>
  </si>
  <si>
    <t>Shpenzimet per blerje aparate, pajisje kompjuterike</t>
  </si>
  <si>
    <t>Shpenzimet per blerje programe e softe kompjuterike, etj</t>
  </si>
  <si>
    <t>Shpenzimet per blerje per projekte per kerkim shkencor</t>
  </si>
  <si>
    <t>Shpenzimet per blerje pajisje, mobilje</t>
  </si>
  <si>
    <t>Shpenzimet e personelit per paga, ore jashte kohes normale te punes</t>
  </si>
  <si>
    <t>Shpenzimet te tjera (per dalje ne pension, semundje te renda apo rast …</t>
  </si>
  <si>
    <t>Shpenzimet per kontributin e sigurimeve shoqerore dhe shendetsore</t>
  </si>
  <si>
    <t>Shpenzimet per blerjen e materialeve dhe kryerjen e sherbimeve te nevojshme per funksionimin e veprimtarise se perditshme te institucionit (uje, energji..)</t>
  </si>
  <si>
    <t>Shpenzime per dieta e udhetime per punonjesit e Institucionit kur largohen jashte qendres se punes ose jashte shtetit per arsye pune,ekspedita mesimore etj.</t>
  </si>
  <si>
    <t>Shpenzime per qeramarrje ambjentesh, pajisjesh, mjeti transporti, etj.</t>
  </si>
  <si>
    <t>Shpenzime per ekzekutim te vendimve gjyqesore per largime nga puna, ekzekutim te detyrimeve kontraktuale te papaguara</t>
  </si>
  <si>
    <t>Shpenzime per honorare,pagesat e organeve kolegjale te institucionit (senati, bordi, komisione doktorature etj)</t>
  </si>
  <si>
    <t>Shpenzimet per pagesat per veprimtarite kerkimore-shkencore</t>
  </si>
  <si>
    <t xml:space="preserve">shpenzimet per bursat e studenteve </t>
  </si>
  <si>
    <t>Shpenzimet per bursat e ekselences</t>
  </si>
  <si>
    <t xml:space="preserve">shpenzimet per rimbursim tarife shkollimi </t>
  </si>
  <si>
    <t>Shpenzime te tjera ne varesi te dinamikes se IAL-ve ( akreditim vleresim, tarifa anetaresimi etj)</t>
  </si>
  <si>
    <t>Shpenzime per pagese tvsh</t>
  </si>
  <si>
    <t>Shpenzime per projekte te nderkombetarizmit</t>
  </si>
  <si>
    <t>Shpenzimet nga te Ardhurat e Veta</t>
  </si>
  <si>
    <t xml:space="preserve">Shpenzimet per  punime ndertimore </t>
  </si>
  <si>
    <t>Shpenzimet per  rikonstruksion</t>
  </si>
  <si>
    <t>Shpenzimet per blerje laboratore</t>
  </si>
  <si>
    <t>Shpenzimet e personelit per paga, personel akademik te jashtem</t>
  </si>
  <si>
    <t>Shpenzimet per blerjen e materialeve dhe kryerjen e sherbimeve te nevojshme  per funksionimin e veprimtarise se perditshme te institucionit (uje, energji, sherbime mirembatjeje, ruajtje etj..)</t>
  </si>
  <si>
    <t>Shpenzime per dieta e udhetime per punonjesit e Institucionit kur largohen per funksionimin e veprimtarise se perditshme te institucionit</t>
  </si>
  <si>
    <t>Shpenzime per honorare,pagesat e bordeve te organeve kolegjale te institucionit</t>
  </si>
  <si>
    <t xml:space="preserve">shpenzimet per rimbursim tarifash per studente </t>
  </si>
  <si>
    <t>Shpenzimet per bursat e ekzelences</t>
  </si>
  <si>
    <t>Shpenzime te tjera ne varesi te dinamikes se IAL-ve</t>
  </si>
  <si>
    <t xml:space="preserve">  Per realizimin faktik te planit buxhetor te vitit paraardhes buxhetor</t>
  </si>
  <si>
    <t>Tabela nr 23</t>
  </si>
  <si>
    <t>Tabela nr 24</t>
  </si>
  <si>
    <t>Nr.</t>
  </si>
  <si>
    <t>Emertimi</t>
  </si>
  <si>
    <t>Realizimi ne %</t>
  </si>
  <si>
    <t>Granti I Mesimdhenies</t>
  </si>
  <si>
    <t>Paga</t>
  </si>
  <si>
    <t>Sigurime shoqerore</t>
  </si>
  <si>
    <t>Kapitulli 08</t>
  </si>
  <si>
    <t>Programi 09450</t>
  </si>
  <si>
    <t>Artikulli  600</t>
  </si>
  <si>
    <t>Artikulli  601</t>
  </si>
  <si>
    <t>Artikulli  602</t>
  </si>
  <si>
    <t>Artikulli  606</t>
  </si>
  <si>
    <t>Shpenzime operative te perditshme</t>
  </si>
  <si>
    <t>Per realizimin faktik te buxhetit nga granti I Mesimdhenies per vitin paraardhes buxhetor , periudha 01.01.2022- 31.12.2022 (programi buxhetor 09450, kap 08, artikulli 600 - 606(</t>
  </si>
  <si>
    <r>
      <t xml:space="preserve">Plan </t>
    </r>
    <r>
      <rPr>
        <b/>
        <sz val="10"/>
        <color theme="1"/>
        <rFont val="Calibri"/>
        <family val="2"/>
        <scheme val="minor"/>
      </rPr>
      <t>(Grant I trasheguar + grantin e vitit(</t>
    </r>
  </si>
  <si>
    <t>Buxheti vitit ( I pritshmi)</t>
  </si>
  <si>
    <t>PERFSH EDHE NDERK</t>
  </si>
  <si>
    <t>Tabela nr. 25</t>
  </si>
  <si>
    <t>Emertimi i projektit</t>
  </si>
  <si>
    <t>Granti Total</t>
  </si>
  <si>
    <r>
      <t xml:space="preserve">Plan </t>
    </r>
    <r>
      <rPr>
        <b/>
        <sz val="10"/>
        <color theme="1"/>
        <rFont val="Calibri"/>
        <family val="2"/>
        <scheme val="minor"/>
      </rPr>
      <t xml:space="preserve"> </t>
    </r>
  </si>
  <si>
    <t>Projekti Total</t>
  </si>
  <si>
    <t>Granti</t>
  </si>
  <si>
    <t>IAL</t>
  </si>
  <si>
    <t>Vlera (grant + IAL(</t>
  </si>
  <si>
    <t>Njesia Perfituese</t>
  </si>
  <si>
    <t>Programi</t>
  </si>
  <si>
    <t>Artikulli</t>
  </si>
  <si>
    <t>Te trasheguara nga v 2022</t>
  </si>
  <si>
    <t>Granti I vitit  2023</t>
  </si>
  <si>
    <t>TOTAL FONDE GRANT + BUXHET</t>
  </si>
  <si>
    <t>Plani nga te ardhurat</t>
  </si>
  <si>
    <t>ne 000/leke</t>
  </si>
  <si>
    <t>Ndertimi I laboratorit te doktoratures</t>
  </si>
  <si>
    <t>Per realizimin faktik te buxhetit nga granti I punes kerkimore shkencore dhe I veprimtarise krijuese per vitin paraardhes buxhetor (programi buxhetor 09770,kap 01, art. 231</t>
  </si>
  <si>
    <t>09770/231/1</t>
  </si>
  <si>
    <t>09770/602/8</t>
  </si>
  <si>
    <t>Rrjetezimi I pakos turistike Shqiperi - Kosove</t>
  </si>
  <si>
    <t>Eficensa e ujit te perdorimit te ujit te shiut</t>
  </si>
  <si>
    <t>Barazia gjinore</t>
  </si>
  <si>
    <t>Depatamenti I turizmit</t>
  </si>
  <si>
    <t>Departamenti I inxhinierise</t>
  </si>
  <si>
    <t>Departamenti I psikologjise</t>
  </si>
  <si>
    <t>Tabela nr. 26</t>
  </si>
  <si>
    <t>Per realizimin faktik te buxhetit nga granti I politikave te zhvillimit per vitin paraardhes buxhetor (programi buxhetor 09450,kap 01, art. 230-231</t>
  </si>
  <si>
    <t>Granti I Politikave te Zhvillimit  Total</t>
  </si>
  <si>
    <t>Plani</t>
  </si>
  <si>
    <t xml:space="preserve">Emertimi  </t>
  </si>
  <si>
    <t xml:space="preserve">Grant </t>
  </si>
  <si>
    <t>Viti 2022 FAKT</t>
  </si>
  <si>
    <t>Viti i Pritshem 2023 FAKT</t>
  </si>
  <si>
    <t>PERFSHIRE EDHE TVSH</t>
  </si>
  <si>
    <t>Granti per Projektet e Zhvillimit (PA PERFSH TVSH(</t>
  </si>
  <si>
    <t>VITI AKADEMIK 2022-2023</t>
  </si>
  <si>
    <t>Financimi I vitit aktual  (plan)</t>
  </si>
  <si>
    <r>
      <rPr>
        <b/>
        <sz val="11"/>
        <color theme="1"/>
        <rFont val="Calibri"/>
        <family val="2"/>
        <scheme val="minor"/>
      </rPr>
      <t xml:space="preserve">Plani buxhetor njevjecar I </t>
    </r>
    <r>
      <rPr>
        <sz val="11"/>
        <color theme="1"/>
        <rFont val="Calibri"/>
        <family val="2"/>
        <scheme val="minor"/>
      </rPr>
      <t>shpenzimeve per periudhen 01.01.2022-31.12.2022  ( ne 000/leke)</t>
    </r>
  </si>
  <si>
    <t>PLAN  BUXHETI I VITIT AKADEMIK PASARDHES ( PLANI 01.01.2023-31.12.2023)</t>
  </si>
  <si>
    <t>Financimi I vitit aktual (I pritshmi)</t>
  </si>
  <si>
    <r>
      <rPr>
        <b/>
        <sz val="11"/>
        <color theme="1"/>
        <rFont val="Calibri"/>
        <family val="2"/>
        <scheme val="minor"/>
      </rPr>
      <t xml:space="preserve">Plani buxhetor njevjecar </t>
    </r>
    <r>
      <rPr>
        <sz val="11"/>
        <color theme="1"/>
        <rFont val="Calibri"/>
        <family val="2"/>
        <scheme val="minor"/>
      </rPr>
      <t xml:space="preserve"> I shpenzimeve per periudhen 01.01.2023-31.12.2023  I pritshmi  ( ne 000/leke)</t>
    </r>
  </si>
  <si>
    <t>Tabela nr. 28: Për tarifat e shkollimit për vitin akademik në vijim: 2023 - 2024</t>
  </si>
  <si>
    <t>Tarifa vjetore e studimit ( ne leke)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</si>
</sst>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_(* #,##0.000_);_(* \(#,##0.000\);_(* &quot;-&quot;??_);_(@_)"/>
  </numFmts>
  <fonts count="34" x14ac:knownFonts="1">
    <font>
      <sz val="11"/>
      <color theme="1"/>
      <name val="Calibri"/>
      <family val="2"/>
      <scheme val="minor"/>
    </font>
    <font>
      <b/>
      <sz val="11"/>
      <color theme="1"/>
      <name val="Calibri"/>
      <family val="2"/>
      <scheme val="minor"/>
    </font>
    <font>
      <b/>
      <sz val="11"/>
      <color theme="1"/>
      <name val="Times New Roman"/>
      <family val="1"/>
    </font>
    <font>
      <sz val="11"/>
      <color theme="1"/>
      <name val="Times New Roman"/>
      <family val="1"/>
    </font>
    <font>
      <sz val="12"/>
      <color theme="1"/>
      <name val="Times New Roman"/>
      <family val="1"/>
    </font>
    <font>
      <b/>
      <sz val="12"/>
      <color theme="1"/>
      <name val="Times New Roman"/>
      <family val="1"/>
    </font>
    <font>
      <sz val="11"/>
      <color theme="1"/>
      <name val="Calibri"/>
      <family val="2"/>
      <scheme val="minor"/>
    </font>
    <font>
      <b/>
      <sz val="12"/>
      <color theme="1"/>
      <name val="Calibri"/>
      <family val="2"/>
      <scheme val="minor"/>
    </font>
    <font>
      <b/>
      <sz val="13"/>
      <color theme="1"/>
      <name val="Times New Roman"/>
      <family val="1"/>
    </font>
    <font>
      <b/>
      <sz val="14"/>
      <color theme="1"/>
      <name val="Times New Roman"/>
      <family val="1"/>
    </font>
    <font>
      <sz val="12"/>
      <color theme="1"/>
      <name val="Calibri"/>
      <family val="2"/>
      <scheme val="minor"/>
    </font>
    <font>
      <b/>
      <sz val="12.5"/>
      <color theme="1"/>
      <name val="Times New Roman"/>
      <family val="1"/>
    </font>
    <font>
      <sz val="10"/>
      <name val="Arial Narrow"/>
      <family val="2"/>
    </font>
    <font>
      <sz val="10"/>
      <name val="Times New Roman"/>
      <family val="1"/>
    </font>
    <font>
      <sz val="11"/>
      <name val="Times New Roman"/>
      <family val="1"/>
    </font>
    <font>
      <b/>
      <sz val="14"/>
      <color theme="1"/>
      <name val="Calibri"/>
      <family val="2"/>
      <scheme val="minor"/>
    </font>
    <font>
      <b/>
      <sz val="16"/>
      <color theme="1"/>
      <name val="Calibri"/>
      <family val="2"/>
      <scheme val="minor"/>
    </font>
    <font>
      <b/>
      <sz val="18"/>
      <color theme="1"/>
      <name val="Calibri"/>
      <family val="2"/>
      <scheme val="minor"/>
    </font>
    <font>
      <sz val="10"/>
      <name val="Calibri"/>
      <family val="2"/>
      <scheme val="minor"/>
    </font>
    <font>
      <sz val="11"/>
      <name val="Calibri"/>
      <family val="2"/>
      <scheme val="minor"/>
    </font>
    <font>
      <b/>
      <i/>
      <sz val="14"/>
      <color theme="1"/>
      <name val="Times New Roman"/>
      <family val="1"/>
    </font>
    <font>
      <b/>
      <sz val="9"/>
      <color indexed="81"/>
      <name val="Tahoma"/>
      <charset val="1"/>
    </font>
    <font>
      <sz val="9"/>
      <color indexed="81"/>
      <name val="Tahoma"/>
      <charset val="1"/>
    </font>
    <font>
      <b/>
      <sz val="9"/>
      <color indexed="81"/>
      <name val="Tahoma"/>
      <family val="2"/>
    </font>
    <font>
      <sz val="9"/>
      <color indexed="81"/>
      <name val="Tahoma"/>
      <family val="2"/>
    </font>
    <font>
      <b/>
      <sz val="10"/>
      <color theme="1"/>
      <name val="Calibri"/>
      <family val="2"/>
      <scheme val="minor"/>
    </font>
    <font>
      <b/>
      <sz val="9"/>
      <name val="Arial"/>
      <family val="2"/>
    </font>
    <font>
      <b/>
      <sz val="9"/>
      <color theme="1"/>
      <name val="Calibri"/>
      <family val="2"/>
      <scheme val="minor"/>
    </font>
    <font>
      <sz val="9"/>
      <color theme="1"/>
      <name val="Calibri"/>
      <family val="2"/>
      <scheme val="minor"/>
    </font>
    <font>
      <b/>
      <sz val="8"/>
      <color theme="1"/>
      <name val="Calibri"/>
      <family val="2"/>
      <scheme val="minor"/>
    </font>
    <font>
      <sz val="8"/>
      <color theme="1"/>
      <name val="Calibri"/>
      <family val="2"/>
      <scheme val="minor"/>
    </font>
    <font>
      <b/>
      <sz val="9"/>
      <color theme="1"/>
      <name val="Times New Roman"/>
      <family val="1"/>
    </font>
    <font>
      <sz val="10"/>
      <color theme="1"/>
      <name val="Calibri"/>
      <family val="2"/>
      <scheme val="minor"/>
    </font>
    <font>
      <sz val="10"/>
      <color theme="1"/>
      <name val="Times New Roman"/>
      <family val="1"/>
    </font>
  </fonts>
  <fills count="15">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indexed="9"/>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4.9989318521683403E-2"/>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rgb="FF000000"/>
      </top>
      <bottom style="thin">
        <color indexed="64"/>
      </bottom>
      <diagonal/>
    </border>
    <border>
      <left style="hair">
        <color indexed="64"/>
      </left>
      <right style="hair">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style="thin">
        <color indexed="64"/>
      </right>
      <top style="thin">
        <color rgb="FF000000"/>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s>
  <cellStyleXfs count="3">
    <xf numFmtId="0" fontId="0" fillId="0" borderId="0"/>
    <xf numFmtId="43" fontId="6" fillId="0" borderId="0" applyFont="0" applyFill="0" applyBorder="0" applyAlignment="0" applyProtection="0"/>
    <xf numFmtId="9" fontId="6" fillId="0" borderId="0" applyFont="0" applyFill="0" applyBorder="0" applyAlignment="0" applyProtection="0"/>
  </cellStyleXfs>
  <cellXfs count="342">
    <xf numFmtId="0" fontId="0" fillId="0" borderId="0" xfId="0"/>
    <xf numFmtId="0" fontId="0" fillId="0" borderId="1" xfId="0" applyBorder="1"/>
    <xf numFmtId="0" fontId="0" fillId="0" borderId="14" xfId="0" applyBorder="1"/>
    <xf numFmtId="0" fontId="1" fillId="0" borderId="2" xfId="0" applyFont="1" applyBorder="1"/>
    <xf numFmtId="0" fontId="1" fillId="0" borderId="0" xfId="0" applyFont="1" applyAlignment="1">
      <alignment horizontal="center"/>
    </xf>
    <xf numFmtId="0" fontId="5" fillId="0" borderId="3" xfId="0" applyFont="1" applyBorder="1" applyAlignment="1">
      <alignment wrapText="1"/>
    </xf>
    <xf numFmtId="0" fontId="0" fillId="0" borderId="1" xfId="0" applyBorder="1" applyAlignment="1">
      <alignment horizontal="center" vertical="center"/>
    </xf>
    <xf numFmtId="0" fontId="0" fillId="0" borderId="4" xfId="0" applyBorder="1" applyAlignment="1">
      <alignment horizontal="center" vertical="center"/>
    </xf>
    <xf numFmtId="0" fontId="0" fillId="0" borderId="14" xfId="0" applyBorder="1" applyAlignment="1">
      <alignment horizontal="center" vertical="center"/>
    </xf>
    <xf numFmtId="0" fontId="0" fillId="0" borderId="5" xfId="0" applyBorder="1" applyAlignment="1">
      <alignment horizontal="center" vertical="center"/>
    </xf>
    <xf numFmtId="0" fontId="4" fillId="0" borderId="1" xfId="0" applyFont="1" applyBorder="1"/>
    <xf numFmtId="0" fontId="0" fillId="0" borderId="1" xfId="0" applyBorder="1" applyAlignment="1">
      <alignment horizontal="center" vertical="center" wrapText="1"/>
    </xf>
    <xf numFmtId="0" fontId="1" fillId="0" borderId="0" xfId="0" applyFont="1" applyAlignment="1">
      <alignment wrapText="1"/>
    </xf>
    <xf numFmtId="0" fontId="9" fillId="0" borderId="0" xfId="0" applyFont="1" applyAlignment="1">
      <alignment wrapText="1"/>
    </xf>
    <xf numFmtId="0" fontId="2" fillId="0" borderId="35" xfId="0" applyFont="1" applyBorder="1" applyAlignment="1">
      <alignment horizontal="center" vertical="center" wrapText="1"/>
    </xf>
    <xf numFmtId="164" fontId="5" fillId="0" borderId="34" xfId="1" applyNumberFormat="1" applyFont="1" applyFill="1" applyBorder="1" applyAlignment="1">
      <alignment horizontal="center"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9" fillId="0" borderId="0" xfId="0" applyFont="1" applyAlignment="1">
      <alignment horizontal="center" vertical="center"/>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43" xfId="0" applyBorder="1" applyAlignment="1">
      <alignment horizontal="center" vertical="center" wrapText="1"/>
    </xf>
    <xf numFmtId="0" fontId="1" fillId="0" borderId="14" xfId="0" applyFont="1" applyBorder="1" applyAlignment="1">
      <alignment horizontal="center" vertical="center"/>
    </xf>
    <xf numFmtId="0" fontId="7" fillId="0" borderId="2" xfId="0" applyFont="1" applyBorder="1"/>
    <xf numFmtId="0" fontId="11" fillId="0" borderId="3" xfId="0" applyFont="1" applyBorder="1" applyAlignment="1">
      <alignment wrapText="1"/>
    </xf>
    <xf numFmtId="0" fontId="14" fillId="2" borderId="1" xfId="0" applyFont="1" applyFill="1" applyBorder="1" applyAlignment="1">
      <alignment horizontal="left" wrapText="1"/>
    </xf>
    <xf numFmtId="0" fontId="3" fillId="2" borderId="1" xfId="0" applyFont="1" applyFill="1" applyBorder="1"/>
    <xf numFmtId="0" fontId="14" fillId="2" borderId="44" xfId="0" applyFont="1" applyFill="1" applyBorder="1"/>
    <xf numFmtId="0" fontId="3" fillId="2" borderId="1" xfId="0" applyFont="1" applyFill="1" applyBorder="1" applyAlignment="1">
      <alignment wrapText="1"/>
    </xf>
    <xf numFmtId="0" fontId="14" fillId="2" borderId="1" xfId="0" applyFont="1" applyFill="1" applyBorder="1" applyAlignment="1">
      <alignment horizontal="left" vertical="center" wrapText="1"/>
    </xf>
    <xf numFmtId="0" fontId="3" fillId="4" borderId="1" xfId="0" applyFont="1" applyFill="1" applyBorder="1" applyAlignment="1">
      <alignment wrapText="1"/>
    </xf>
    <xf numFmtId="0" fontId="3" fillId="4" borderId="1" xfId="0" applyFont="1" applyFill="1" applyBorder="1"/>
    <xf numFmtId="0" fontId="3" fillId="5" borderId="1" xfId="0" applyFont="1" applyFill="1" applyBorder="1" applyAlignment="1">
      <alignment wrapText="1"/>
    </xf>
    <xf numFmtId="0" fontId="3" fillId="3" borderId="1" xfId="0" applyFont="1" applyFill="1" applyBorder="1" applyAlignment="1">
      <alignment wrapText="1"/>
    </xf>
    <xf numFmtId="0" fontId="3" fillId="6" borderId="1" xfId="0" applyFont="1" applyFill="1" applyBorder="1" applyAlignment="1">
      <alignment wrapText="1"/>
    </xf>
    <xf numFmtId="0" fontId="14" fillId="4" borderId="1" xfId="0" applyFont="1" applyFill="1" applyBorder="1" applyAlignment="1">
      <alignment horizontal="left" wrapText="1"/>
    </xf>
    <xf numFmtId="0" fontId="14" fillId="5" borderId="1" xfId="0" applyFont="1" applyFill="1" applyBorder="1" applyAlignment="1">
      <alignment horizontal="left" wrapText="1"/>
    </xf>
    <xf numFmtId="0" fontId="14" fillId="5" borderId="1" xfId="0" applyFont="1" applyFill="1" applyBorder="1" applyAlignment="1">
      <alignment wrapText="1"/>
    </xf>
    <xf numFmtId="0" fontId="14" fillId="5" borderId="1" xfId="0" applyFont="1" applyFill="1" applyBorder="1" applyAlignment="1">
      <alignment horizontal="left" vertical="center" wrapText="1"/>
    </xf>
    <xf numFmtId="0" fontId="14" fillId="3" borderId="1" xfId="0" applyFont="1" applyFill="1" applyBorder="1" applyAlignment="1">
      <alignment horizontal="left" wrapText="1"/>
    </xf>
    <xf numFmtId="0" fontId="14" fillId="3" borderId="1" xfId="0" applyFont="1" applyFill="1" applyBorder="1" applyAlignment="1">
      <alignment vertical="top" wrapText="1"/>
    </xf>
    <xf numFmtId="0" fontId="14" fillId="6" borderId="1" xfId="0" applyFont="1" applyFill="1" applyBorder="1" applyAlignment="1">
      <alignment horizontal="left" wrapText="1"/>
    </xf>
    <xf numFmtId="0" fontId="14" fillId="6" borderId="1" xfId="0" applyFont="1" applyFill="1" applyBorder="1" applyAlignment="1">
      <alignment wrapText="1"/>
    </xf>
    <xf numFmtId="0" fontId="19" fillId="0" borderId="1" xfId="0" applyFont="1" applyBorder="1"/>
    <xf numFmtId="0" fontId="10" fillId="0" borderId="0" xfId="0" applyFont="1"/>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164" fontId="3" fillId="0" borderId="1" xfId="1" applyNumberFormat="1" applyFont="1" applyBorder="1" applyAlignment="1">
      <alignment horizontal="center" vertical="center" wrapText="1"/>
    </xf>
    <xf numFmtId="164" fontId="3" fillId="0" borderId="14" xfId="1" applyNumberFormat="1" applyFont="1" applyBorder="1" applyAlignment="1">
      <alignment horizontal="center" vertical="center" wrapText="1"/>
    </xf>
    <xf numFmtId="164" fontId="0" fillId="0" borderId="2" xfId="1" applyNumberFormat="1" applyFont="1" applyBorder="1"/>
    <xf numFmtId="164" fontId="0" fillId="0" borderId="1" xfId="1" applyNumberFormat="1" applyFont="1" applyBorder="1"/>
    <xf numFmtId="0" fontId="3" fillId="0" borderId="1" xfId="0" applyFont="1" applyBorder="1" applyAlignment="1">
      <alignment horizontal="center" vertical="center"/>
    </xf>
    <xf numFmtId="0" fontId="14" fillId="6" borderId="47" xfId="0" applyFont="1" applyFill="1" applyBorder="1" applyAlignment="1">
      <alignment horizontal="left" wrapText="1"/>
    </xf>
    <xf numFmtId="0" fontId="3" fillId="6" borderId="47" xfId="0" applyFont="1" applyFill="1" applyBorder="1" applyAlignment="1">
      <alignment wrapText="1"/>
    </xf>
    <xf numFmtId="0" fontId="3" fillId="0" borderId="47" xfId="0" applyFont="1" applyBorder="1" applyAlignment="1">
      <alignment horizontal="center" vertical="center"/>
    </xf>
    <xf numFmtId="0" fontId="19" fillId="0" borderId="47" xfId="0" applyFont="1" applyBorder="1"/>
    <xf numFmtId="0" fontId="0" fillId="0" borderId="47" xfId="0" applyBorder="1"/>
    <xf numFmtId="0" fontId="0" fillId="0" borderId="49" xfId="0" applyBorder="1"/>
    <xf numFmtId="0" fontId="0" fillId="0" borderId="14" xfId="0" applyBorder="1" applyAlignment="1">
      <alignment vertical="center"/>
    </xf>
    <xf numFmtId="0" fontId="19" fillId="0" borderId="14" xfId="0" applyFont="1" applyBorder="1" applyAlignment="1">
      <alignment horizontal="right"/>
    </xf>
    <xf numFmtId="0" fontId="18" fillId="0" borderId="14" xfId="0" applyFont="1" applyBorder="1" applyAlignment="1">
      <alignment horizontal="right"/>
    </xf>
    <xf numFmtId="0" fontId="12" fillId="7" borderId="0" xfId="0" applyFont="1" applyFill="1"/>
    <xf numFmtId="0" fontId="13" fillId="0" borderId="14" xfId="0" applyFont="1" applyBorder="1" applyAlignment="1">
      <alignment horizontal="right"/>
    </xf>
    <xf numFmtId="0" fontId="14" fillId="0" borderId="14" xfId="0" applyFont="1" applyBorder="1" applyAlignment="1">
      <alignment horizontal="right"/>
    </xf>
    <xf numFmtId="0" fontId="14" fillId="11" borderId="14" xfId="0" applyFont="1" applyFill="1" applyBorder="1" applyAlignment="1">
      <alignment horizontal="right"/>
    </xf>
    <xf numFmtId="0" fontId="8" fillId="0" borderId="4" xfId="0" applyFont="1" applyBorder="1"/>
    <xf numFmtId="164" fontId="0" fillId="0" borderId="14" xfId="1" applyNumberFormat="1" applyFont="1" applyBorder="1"/>
    <xf numFmtId="164" fontId="0" fillId="0" borderId="3" xfId="1" applyNumberFormat="1" applyFont="1" applyBorder="1"/>
    <xf numFmtId="0" fontId="0" fillId="0" borderId="47" xfId="0" applyBorder="1" applyAlignment="1">
      <alignment horizontal="center" vertical="center"/>
    </xf>
    <xf numFmtId="0" fontId="0" fillId="0" borderId="47" xfId="0" applyBorder="1" applyAlignment="1">
      <alignment horizontal="center" vertical="center" wrapText="1"/>
    </xf>
    <xf numFmtId="0" fontId="0" fillId="0" borderId="50" xfId="0" applyBorder="1" applyAlignment="1">
      <alignment horizontal="center" vertical="center" wrapText="1"/>
    </xf>
    <xf numFmtId="0" fontId="1" fillId="0" borderId="49" xfId="0" applyFont="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xf>
    <xf numFmtId="0" fontId="1" fillId="0" borderId="1" xfId="0" applyFont="1" applyBorder="1"/>
    <xf numFmtId="0" fontId="5" fillId="0" borderId="0" xfId="0" applyFont="1" applyAlignment="1">
      <alignment wrapText="1"/>
    </xf>
    <xf numFmtId="0" fontId="1" fillId="0" borderId="0" xfId="0" applyFont="1"/>
    <xf numFmtId="0" fontId="7" fillId="0" borderId="0" xfId="0" applyFont="1"/>
    <xf numFmtId="0" fontId="0" fillId="0" borderId="13" xfId="0" applyBorder="1" applyAlignment="1">
      <alignment horizontal="center" vertical="center"/>
    </xf>
    <xf numFmtId="0" fontId="0" fillId="0" borderId="49" xfId="0" applyBorder="1" applyAlignment="1">
      <alignment horizontal="center" vertical="center"/>
    </xf>
    <xf numFmtId="0" fontId="7" fillId="0" borderId="1" xfId="0" applyFont="1" applyBorder="1"/>
    <xf numFmtId="9" fontId="0" fillId="0" borderId="0" xfId="0" applyNumberFormat="1"/>
    <xf numFmtId="164" fontId="0" fillId="0" borderId="47" xfId="1" applyNumberFormat="1" applyFont="1" applyBorder="1"/>
    <xf numFmtId="164" fontId="0" fillId="0" borderId="49" xfId="1" applyNumberFormat="1" applyFont="1" applyBorder="1"/>
    <xf numFmtId="164" fontId="0" fillId="0" borderId="4" xfId="1" applyNumberFormat="1" applyFont="1" applyBorder="1"/>
    <xf numFmtId="0" fontId="1" fillId="13" borderId="0" xfId="0" applyFont="1" applyFill="1"/>
    <xf numFmtId="164" fontId="1" fillId="0" borderId="0" xfId="1" applyNumberFormat="1" applyFont="1"/>
    <xf numFmtId="164" fontId="0" fillId="0" borderId="0" xfId="1" applyNumberFormat="1" applyFont="1"/>
    <xf numFmtId="164" fontId="1" fillId="0" borderId="52" xfId="1" applyNumberFormat="1" applyFont="1" applyBorder="1" applyAlignment="1">
      <alignment horizontal="center"/>
    </xf>
    <xf numFmtId="164" fontId="1" fillId="0" borderId="39" xfId="1" applyNumberFormat="1" applyFont="1" applyBorder="1" applyAlignment="1">
      <alignment horizontal="center"/>
    </xf>
    <xf numFmtId="0" fontId="0" fillId="0" borderId="1" xfId="0" applyBorder="1" applyAlignment="1">
      <alignment horizontal="left"/>
    </xf>
    <xf numFmtId="164" fontId="0" fillId="0" borderId="51" xfId="1" applyNumberFormat="1" applyFont="1" applyBorder="1" applyAlignment="1"/>
    <xf numFmtId="164" fontId="0" fillId="0" borderId="51" xfId="1" applyNumberFormat="1" applyFont="1" applyBorder="1" applyAlignment="1">
      <alignment horizontal="center"/>
    </xf>
    <xf numFmtId="164" fontId="1" fillId="0" borderId="51" xfId="1" applyNumberFormat="1" applyFont="1" applyBorder="1" applyAlignment="1">
      <alignment horizontal="center"/>
    </xf>
    <xf numFmtId="164" fontId="1" fillId="0" borderId="1" xfId="1" applyNumberFormat="1" applyFont="1" applyBorder="1" applyAlignment="1">
      <alignment horizontal="center"/>
    </xf>
    <xf numFmtId="0" fontId="0" fillId="0" borderId="1" xfId="0" applyBorder="1" applyAlignment="1">
      <alignment horizontal="left" vertical="center"/>
    </xf>
    <xf numFmtId="0" fontId="0" fillId="0" borderId="0" xfId="0" applyAlignment="1">
      <alignment horizontal="left"/>
    </xf>
    <xf numFmtId="0" fontId="1" fillId="0" borderId="1" xfId="0" applyFont="1" applyBorder="1" applyAlignment="1">
      <alignment horizontal="center" vertical="center" wrapText="1"/>
    </xf>
    <xf numFmtId="164" fontId="1" fillId="0" borderId="1" xfId="1" applyNumberFormat="1" applyFont="1" applyBorder="1" applyAlignment="1">
      <alignment horizontal="center" vertical="center" wrapText="1"/>
    </xf>
    <xf numFmtId="0" fontId="1" fillId="0" borderId="1" xfId="0" applyFont="1" applyBorder="1" applyAlignment="1">
      <alignment horizontal="left"/>
    </xf>
    <xf numFmtId="164" fontId="1" fillId="0" borderId="1" xfId="1" applyNumberFormat="1" applyFont="1" applyBorder="1"/>
    <xf numFmtId="0" fontId="1" fillId="0" borderId="0" xfId="0" applyFont="1" applyAlignment="1">
      <alignment horizontal="center" vertical="top"/>
    </xf>
    <xf numFmtId="164" fontId="0" fillId="0" borderId="0" xfId="1" applyNumberFormat="1" applyFont="1" applyAlignment="1">
      <alignment vertical="center"/>
    </xf>
    <xf numFmtId="0" fontId="0" fillId="0" borderId="0" xfId="0" applyAlignment="1">
      <alignment vertical="center"/>
    </xf>
    <xf numFmtId="0" fontId="1" fillId="0" borderId="1" xfId="0" applyFont="1" applyBorder="1" applyAlignment="1">
      <alignment vertical="center"/>
    </xf>
    <xf numFmtId="0" fontId="1" fillId="0" borderId="1" xfId="0" applyFont="1" applyBorder="1" applyAlignment="1">
      <alignment horizontal="left" vertical="center" wrapText="1"/>
    </xf>
    <xf numFmtId="164" fontId="1" fillId="0" borderId="1" xfId="1" applyNumberFormat="1" applyFont="1" applyBorder="1" applyAlignment="1">
      <alignment horizontal="center" vertical="center"/>
    </xf>
    <xf numFmtId="164" fontId="1" fillId="0" borderId="1" xfId="1" applyNumberFormat="1" applyFont="1" applyBorder="1" applyAlignment="1">
      <alignment vertical="center"/>
    </xf>
    <xf numFmtId="164" fontId="0" fillId="0" borderId="1" xfId="1" applyNumberFormat="1" applyFont="1" applyBorder="1" applyAlignment="1">
      <alignment horizontal="center"/>
    </xf>
    <xf numFmtId="164" fontId="1" fillId="0" borderId="12" xfId="1" applyNumberFormat="1" applyFont="1" applyBorder="1"/>
    <xf numFmtId="164" fontId="0" fillId="0" borderId="53" xfId="1" applyNumberFormat="1" applyFont="1" applyBorder="1" applyAlignment="1">
      <alignment horizontal="center"/>
    </xf>
    <xf numFmtId="0" fontId="0" fillId="0" borderId="0" xfId="0" applyAlignment="1">
      <alignment horizontal="left" wrapText="1"/>
    </xf>
    <xf numFmtId="0" fontId="1" fillId="0" borderId="38" xfId="0" applyFont="1" applyBorder="1" applyAlignment="1">
      <alignment horizontal="center" vertical="center"/>
    </xf>
    <xf numFmtId="164" fontId="1" fillId="0" borderId="14" xfId="1" applyNumberFormat="1" applyFont="1" applyBorder="1" applyAlignment="1">
      <alignment horizontal="center"/>
    </xf>
    <xf numFmtId="0" fontId="0" fillId="0" borderId="25" xfId="0" applyBorder="1" applyAlignment="1">
      <alignment horizontal="left" wrapText="1"/>
    </xf>
    <xf numFmtId="164" fontId="0" fillId="0" borderId="0" xfId="0" applyNumberFormat="1"/>
    <xf numFmtId="164" fontId="0" fillId="0" borderId="14" xfId="1" applyNumberFormat="1" applyFont="1" applyBorder="1" applyAlignment="1">
      <alignment horizontal="center"/>
    </xf>
    <xf numFmtId="0" fontId="0" fillId="0" borderId="56" xfId="0" applyBorder="1" applyAlignment="1">
      <alignment horizontal="left" wrapText="1"/>
    </xf>
    <xf numFmtId="164" fontId="0" fillId="0" borderId="57" xfId="1" applyNumberFormat="1" applyFont="1" applyBorder="1" applyAlignment="1">
      <alignment horizontal="center"/>
    </xf>
    <xf numFmtId="164" fontId="0" fillId="0" borderId="5" xfId="1" applyNumberFormat="1" applyFont="1" applyBorder="1" applyAlignment="1">
      <alignment horizontal="center"/>
    </xf>
    <xf numFmtId="0" fontId="0" fillId="0" borderId="28" xfId="0" applyBorder="1" applyAlignment="1">
      <alignment horizontal="left" wrapText="1"/>
    </xf>
    <xf numFmtId="0" fontId="0" fillId="0" borderId="25" xfId="0" applyBorder="1" applyAlignment="1">
      <alignment horizontal="left"/>
    </xf>
    <xf numFmtId="164" fontId="0" fillId="0" borderId="59" xfId="1" applyNumberFormat="1" applyFont="1" applyBorder="1" applyAlignment="1">
      <alignment horizontal="center"/>
    </xf>
    <xf numFmtId="164" fontId="1" fillId="0" borderId="54" xfId="1" applyNumberFormat="1" applyFont="1" applyBorder="1" applyAlignment="1">
      <alignment horizontal="center"/>
    </xf>
    <xf numFmtId="0" fontId="7" fillId="0" borderId="56" xfId="0" applyFont="1" applyBorder="1" applyAlignment="1">
      <alignment horizontal="right"/>
    </xf>
    <xf numFmtId="164" fontId="7" fillId="0" borderId="57" xfId="1" applyNumberFormat="1" applyFont="1" applyBorder="1" applyAlignment="1">
      <alignment horizontal="center"/>
    </xf>
    <xf numFmtId="164" fontId="1" fillId="0" borderId="58" xfId="1" applyNumberFormat="1" applyFont="1" applyBorder="1" applyAlignment="1">
      <alignment horizontal="center"/>
    </xf>
    <xf numFmtId="164" fontId="7" fillId="0" borderId="5" xfId="1" applyNumberFormat="1" applyFont="1" applyBorder="1" applyAlignment="1">
      <alignment horizontal="center"/>
    </xf>
    <xf numFmtId="164" fontId="1" fillId="0" borderId="59" xfId="1" applyNumberFormat="1" applyFont="1" applyBorder="1" applyAlignment="1">
      <alignment horizontal="center"/>
    </xf>
    <xf numFmtId="0" fontId="1" fillId="0" borderId="25" xfId="0" applyFont="1" applyBorder="1" applyAlignment="1">
      <alignment horizontal="center" vertical="center"/>
    </xf>
    <xf numFmtId="0" fontId="0" fillId="0" borderId="45" xfId="0" applyBorder="1" applyAlignment="1">
      <alignment horizontal="left"/>
    </xf>
    <xf numFmtId="164" fontId="0" fillId="0" borderId="53" xfId="1" applyNumberFormat="1" applyFont="1" applyBorder="1" applyAlignment="1"/>
    <xf numFmtId="164" fontId="0" fillId="0" borderId="49" xfId="1" applyNumberFormat="1" applyFont="1" applyBorder="1" applyAlignment="1">
      <alignment horizontal="center"/>
    </xf>
    <xf numFmtId="0" fontId="5" fillId="0" borderId="60" xfId="0" applyFont="1" applyBorder="1" applyAlignment="1">
      <alignment horizontal="right"/>
    </xf>
    <xf numFmtId="164" fontId="5" fillId="0" borderId="34" xfId="1" applyNumberFormat="1" applyFont="1" applyBorder="1" applyAlignment="1">
      <alignment horizontal="center"/>
    </xf>
    <xf numFmtId="164" fontId="5" fillId="0" borderId="30" xfId="1" applyNumberFormat="1" applyFont="1" applyBorder="1" applyAlignment="1">
      <alignment horizontal="center"/>
    </xf>
    <xf numFmtId="0" fontId="5" fillId="0" borderId="25" xfId="0" applyFont="1" applyBorder="1" applyAlignment="1">
      <alignment horizontal="right"/>
    </xf>
    <xf numFmtId="164" fontId="2" fillId="0" borderId="51" xfId="1" applyNumberFormat="1" applyFont="1" applyBorder="1" applyAlignment="1"/>
    <xf numFmtId="164" fontId="2" fillId="0" borderId="14" xfId="1" applyNumberFormat="1" applyFont="1" applyBorder="1" applyAlignment="1"/>
    <xf numFmtId="0" fontId="7" fillId="0" borderId="1" xfId="0" applyFont="1" applyBorder="1" applyAlignment="1">
      <alignment horizontal="left" vertical="center"/>
    </xf>
    <xf numFmtId="164" fontId="7" fillId="0" borderId="1" xfId="1" applyNumberFormat="1" applyFont="1" applyBorder="1"/>
    <xf numFmtId="0" fontId="1" fillId="14" borderId="1" xfId="0" applyFont="1" applyFill="1" applyBorder="1" applyAlignment="1">
      <alignment horizontal="left"/>
    </xf>
    <xf numFmtId="0" fontId="1" fillId="14" borderId="1" xfId="0" applyFont="1" applyFill="1" applyBorder="1"/>
    <xf numFmtId="164" fontId="1" fillId="14" borderId="1" xfId="1" applyNumberFormat="1" applyFont="1" applyFill="1" applyBorder="1"/>
    <xf numFmtId="0" fontId="5" fillId="0" borderId="1" xfId="0" applyFont="1" applyBorder="1"/>
    <xf numFmtId="0" fontId="5" fillId="0" borderId="1" xfId="0" applyFont="1" applyBorder="1" applyAlignment="1">
      <alignment horizontal="center"/>
    </xf>
    <xf numFmtId="164" fontId="5" fillId="0" borderId="1" xfId="1" applyNumberFormat="1" applyFont="1" applyBorder="1"/>
    <xf numFmtId="0" fontId="1" fillId="0" borderId="1" xfId="0" applyFont="1" applyBorder="1" applyAlignment="1">
      <alignment horizontal="center"/>
    </xf>
    <xf numFmtId="0" fontId="0" fillId="0" borderId="0" xfId="0" applyAlignment="1">
      <alignment wrapText="1"/>
    </xf>
    <xf numFmtId="0" fontId="7" fillId="0" borderId="0" xfId="0" applyFont="1" applyAlignment="1">
      <alignment horizontal="center"/>
    </xf>
    <xf numFmtId="0" fontId="7" fillId="0" borderId="61" xfId="0" applyFont="1" applyBorder="1"/>
    <xf numFmtId="0" fontId="0" fillId="0" borderId="1" xfId="0" applyBorder="1" applyAlignment="1">
      <alignment wrapText="1"/>
    </xf>
    <xf numFmtId="164" fontId="0" fillId="0" borderId="1" xfId="1" applyNumberFormat="1" applyFont="1" applyBorder="1" applyAlignment="1">
      <alignment horizontal="right"/>
    </xf>
    <xf numFmtId="164" fontId="1" fillId="0" borderId="1" xfId="1" applyNumberFormat="1" applyFont="1" applyFill="1" applyBorder="1" applyAlignment="1">
      <alignment horizontal="right"/>
    </xf>
    <xf numFmtId="164" fontId="0" fillId="0" borderId="1" xfId="1" applyNumberFormat="1" applyFont="1" applyFill="1" applyBorder="1" applyAlignment="1">
      <alignment horizontal="right"/>
    </xf>
    <xf numFmtId="164" fontId="0" fillId="0" borderId="1" xfId="1" applyNumberFormat="1" applyFont="1" applyFill="1" applyBorder="1"/>
    <xf numFmtId="164" fontId="0" fillId="0" borderId="0" xfId="1" applyNumberFormat="1" applyFont="1" applyFill="1"/>
    <xf numFmtId="1" fontId="3" fillId="0" borderId="1" xfId="0" applyNumberFormat="1" applyFont="1" applyBorder="1"/>
    <xf numFmtId="164" fontId="3" fillId="0" borderId="1" xfId="1" applyNumberFormat="1" applyFont="1" applyBorder="1"/>
    <xf numFmtId="164" fontId="3" fillId="0" borderId="1" xfId="1" applyNumberFormat="1" applyFont="1" applyFill="1" applyBorder="1"/>
    <xf numFmtId="164" fontId="0" fillId="0" borderId="1" xfId="1" applyNumberFormat="1" applyFont="1" applyBorder="1" applyAlignment="1"/>
    <xf numFmtId="164" fontId="0" fillId="0" borderId="1" xfId="1" applyNumberFormat="1" applyFont="1" applyFill="1" applyBorder="1" applyAlignment="1"/>
    <xf numFmtId="3" fontId="18" fillId="0" borderId="1" xfId="1" applyNumberFormat="1" applyFont="1" applyFill="1" applyBorder="1"/>
    <xf numFmtId="3" fontId="19" fillId="0" borderId="1" xfId="0" applyNumberFormat="1" applyFont="1" applyBorder="1"/>
    <xf numFmtId="164" fontId="7" fillId="0" borderId="0" xfId="0" applyNumberFormat="1" applyFont="1" applyAlignment="1">
      <alignment horizontal="center"/>
    </xf>
    <xf numFmtId="0" fontId="7" fillId="0" borderId="47" xfId="0" applyFont="1" applyBorder="1" applyAlignment="1">
      <alignment horizontal="center" vertical="center"/>
    </xf>
    <xf numFmtId="0" fontId="7" fillId="0" borderId="39" xfId="0" applyFont="1" applyBorder="1" applyAlignment="1">
      <alignment horizontal="center" vertical="center"/>
    </xf>
    <xf numFmtId="9" fontId="0" fillId="0" borderId="1" xfId="2" applyFont="1" applyBorder="1"/>
    <xf numFmtId="0" fontId="7" fillId="0" borderId="1" xfId="0" applyFont="1" applyBorder="1" applyAlignment="1">
      <alignment horizontal="center" wrapText="1"/>
    </xf>
    <xf numFmtId="0" fontId="7" fillId="0" borderId="1" xfId="0" applyFont="1" applyBorder="1" applyAlignment="1">
      <alignment wrapText="1"/>
    </xf>
    <xf numFmtId="164" fontId="0" fillId="0" borderId="1" xfId="0" applyNumberFormat="1" applyBorder="1"/>
    <xf numFmtId="0" fontId="1" fillId="0" borderId="1" xfId="0" applyFont="1" applyBorder="1" applyAlignment="1">
      <alignment wrapText="1"/>
    </xf>
    <xf numFmtId="164" fontId="0" fillId="0" borderId="0" xfId="1" applyNumberFormat="1" applyFont="1" applyBorder="1"/>
    <xf numFmtId="0" fontId="7" fillId="0" borderId="1" xfId="0" applyFont="1" applyBorder="1" applyAlignment="1">
      <alignment horizontal="center" vertical="center"/>
    </xf>
    <xf numFmtId="164" fontId="1" fillId="0" borderId="1" xfId="1" applyNumberFormat="1" applyFont="1" applyBorder="1" applyAlignment="1">
      <alignment wrapText="1"/>
    </xf>
    <xf numFmtId="165" fontId="0" fillId="0" borderId="0" xfId="0" applyNumberFormat="1"/>
    <xf numFmtId="0" fontId="5" fillId="0" borderId="28"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164" fontId="0" fillId="0" borderId="51" xfId="1" applyNumberFormat="1" applyFont="1" applyFill="1" applyBorder="1" applyAlignment="1">
      <alignment horizontal="center"/>
    </xf>
    <xf numFmtId="0" fontId="20" fillId="0" borderId="1" xfId="0" applyFont="1" applyBorder="1" applyAlignment="1">
      <alignment horizontal="left" vertical="center" wrapText="1"/>
    </xf>
    <xf numFmtId="164" fontId="9" fillId="0" borderId="1" xfId="1" applyNumberFormat="1" applyFont="1" applyBorder="1" applyAlignment="1">
      <alignment horizontal="center"/>
    </xf>
    <xf numFmtId="0" fontId="0" fillId="0" borderId="1" xfId="0" applyBorder="1" applyAlignment="1">
      <alignment horizontal="right" vertical="center"/>
    </xf>
    <xf numFmtId="0" fontId="20" fillId="0" borderId="1" xfId="0" applyFont="1" applyBorder="1" applyAlignment="1">
      <alignment horizontal="left" vertical="center"/>
    </xf>
    <xf numFmtId="164" fontId="15" fillId="0" borderId="1" xfId="1" applyNumberFormat="1" applyFont="1" applyBorder="1" applyAlignment="1">
      <alignment horizontal="center"/>
    </xf>
    <xf numFmtId="164" fontId="1" fillId="0" borderId="1" xfId="1" quotePrefix="1" applyNumberFormat="1" applyFont="1" applyBorder="1" applyAlignment="1">
      <alignment horizontal="center"/>
    </xf>
    <xf numFmtId="164" fontId="1" fillId="0" borderId="1" xfId="1" applyNumberFormat="1" applyFont="1" applyFill="1" applyBorder="1" applyAlignment="1">
      <alignment horizontal="center"/>
    </xf>
    <xf numFmtId="164" fontId="1" fillId="0" borderId="1" xfId="1" applyNumberFormat="1" applyFont="1" applyBorder="1" applyAlignment="1">
      <alignment vertical="center" wrapText="1"/>
    </xf>
    <xf numFmtId="164" fontId="27" fillId="12" borderId="1" xfId="1" applyNumberFormat="1" applyFont="1" applyFill="1" applyBorder="1"/>
    <xf numFmtId="0" fontId="28" fillId="0" borderId="0" xfId="0" applyFont="1"/>
    <xf numFmtId="164" fontId="27" fillId="12" borderId="1" xfId="1" applyNumberFormat="1" applyFont="1" applyFill="1" applyBorder="1" applyAlignment="1">
      <alignment horizontal="center"/>
    </xf>
    <xf numFmtId="164" fontId="28" fillId="0" borderId="1" xfId="1" applyNumberFormat="1" applyFont="1" applyBorder="1"/>
    <xf numFmtId="164" fontId="28" fillId="0" borderId="1" xfId="1" applyNumberFormat="1" applyFont="1" applyFill="1" applyBorder="1"/>
    <xf numFmtId="164" fontId="28" fillId="0" borderId="1" xfId="1" applyNumberFormat="1" applyFont="1" applyBorder="1" applyAlignment="1">
      <alignment horizontal="right"/>
    </xf>
    <xf numFmtId="164" fontId="27" fillId="0" borderId="1" xfId="1" applyNumberFormat="1" applyFont="1" applyFill="1" applyBorder="1" applyAlignment="1">
      <alignment horizontal="right"/>
    </xf>
    <xf numFmtId="0" fontId="28" fillId="0" borderId="1" xfId="0" applyFont="1" applyBorder="1"/>
    <xf numFmtId="0" fontId="29" fillId="0" borderId="0" xfId="0" applyFont="1" applyAlignment="1">
      <alignment wrapText="1"/>
    </xf>
    <xf numFmtId="0" fontId="30" fillId="0" borderId="0" xfId="0" applyFont="1" applyAlignment="1">
      <alignment wrapText="1"/>
    </xf>
    <xf numFmtId="0" fontId="29" fillId="0" borderId="61" xfId="0" applyFont="1" applyBorder="1" applyAlignment="1">
      <alignment wrapText="1"/>
    </xf>
    <xf numFmtId="0" fontId="29" fillId="12" borderId="1" xfId="0" applyFont="1" applyFill="1" applyBorder="1" applyAlignment="1">
      <alignment horizontal="center" wrapText="1"/>
    </xf>
    <xf numFmtId="0" fontId="30" fillId="0" borderId="1" xfId="0" applyFont="1" applyBorder="1" applyAlignment="1">
      <alignment wrapText="1"/>
    </xf>
    <xf numFmtId="0" fontId="30" fillId="0" borderId="1" xfId="0" applyFont="1" applyBorder="1" applyAlignment="1">
      <alignment horizontal="left" wrapText="1"/>
    </xf>
    <xf numFmtId="0" fontId="32" fillId="0" borderId="0" xfId="0" applyFont="1"/>
    <xf numFmtId="0" fontId="33" fillId="0" borderId="39"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14" xfId="0" applyFont="1" applyBorder="1" applyAlignment="1">
      <alignment horizontal="center" vertical="center" wrapText="1"/>
    </xf>
    <xf numFmtId="164" fontId="26" fillId="0" borderId="21" xfId="0" applyNumberFormat="1" applyFont="1" applyBorder="1" applyAlignment="1">
      <alignment horizont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16" fillId="3" borderId="45" xfId="0" applyFont="1" applyFill="1" applyBorder="1" applyAlignment="1">
      <alignment horizontal="center" vertical="center"/>
    </xf>
    <xf numFmtId="0" fontId="16" fillId="3" borderId="46" xfId="0" applyFont="1" applyFill="1" applyBorder="1" applyAlignment="1">
      <alignment horizontal="center" vertical="center"/>
    </xf>
    <xf numFmtId="0" fontId="16" fillId="3" borderId="38" xfId="0" applyFont="1" applyFill="1" applyBorder="1" applyAlignment="1">
      <alignment horizontal="center" vertical="center"/>
    </xf>
    <xf numFmtId="0" fontId="16" fillId="6" borderId="45" xfId="0" applyFont="1" applyFill="1" applyBorder="1" applyAlignment="1">
      <alignment horizontal="center" vertical="center"/>
    </xf>
    <xf numFmtId="0" fontId="16" fillId="6" borderId="46" xfId="0" applyFont="1" applyFill="1" applyBorder="1" applyAlignment="1">
      <alignment horizontal="center" vertical="center"/>
    </xf>
    <xf numFmtId="0" fontId="17" fillId="2" borderId="45" xfId="0" applyFont="1" applyFill="1" applyBorder="1" applyAlignment="1">
      <alignment horizontal="center" vertical="center"/>
    </xf>
    <xf numFmtId="0" fontId="17" fillId="2" borderId="46" xfId="0" applyFont="1" applyFill="1" applyBorder="1" applyAlignment="1">
      <alignment horizontal="center" vertical="center"/>
    </xf>
    <xf numFmtId="0" fontId="17" fillId="2" borderId="38" xfId="0" applyFont="1" applyFill="1" applyBorder="1" applyAlignment="1">
      <alignment horizontal="center" vertical="center"/>
    </xf>
    <xf numFmtId="0" fontId="17" fillId="4" borderId="45" xfId="0" applyFont="1" applyFill="1" applyBorder="1" applyAlignment="1">
      <alignment horizontal="center" vertical="center"/>
    </xf>
    <xf numFmtId="0" fontId="17" fillId="4" borderId="46" xfId="0" applyFont="1" applyFill="1" applyBorder="1" applyAlignment="1">
      <alignment horizontal="center" vertical="center"/>
    </xf>
    <xf numFmtId="0" fontId="17" fillId="4" borderId="38" xfId="0" applyFont="1" applyFill="1" applyBorder="1" applyAlignment="1">
      <alignment horizontal="center" vertical="center"/>
    </xf>
    <xf numFmtId="0" fontId="15" fillId="5" borderId="45" xfId="0" applyFont="1" applyFill="1" applyBorder="1" applyAlignment="1">
      <alignment horizontal="center" vertical="center"/>
    </xf>
    <xf numFmtId="0" fontId="15" fillId="5" borderId="46" xfId="0" applyFont="1" applyFill="1" applyBorder="1" applyAlignment="1">
      <alignment horizontal="center" vertical="center"/>
    </xf>
    <xf numFmtId="0" fontId="15" fillId="5" borderId="38" xfId="0" applyFont="1" applyFill="1" applyBorder="1" applyAlignment="1">
      <alignment horizontal="center" vertical="center"/>
    </xf>
    <xf numFmtId="0" fontId="7" fillId="0" borderId="51" xfId="0" applyFont="1" applyBorder="1" applyAlignment="1">
      <alignment horizontal="center"/>
    </xf>
    <xf numFmtId="0" fontId="7" fillId="0" borderId="15" xfId="0" applyFont="1" applyBorder="1" applyAlignment="1">
      <alignment horizontal="center"/>
    </xf>
    <xf numFmtId="0" fontId="7" fillId="0" borderId="16" xfId="0" applyFont="1" applyBorder="1" applyAlignment="1">
      <alignment horizontal="center"/>
    </xf>
    <xf numFmtId="0" fontId="4" fillId="0" borderId="20" xfId="0" applyFont="1" applyBorder="1" applyAlignment="1">
      <alignment horizontal="left" wrapText="1"/>
    </xf>
    <xf numFmtId="0" fontId="4" fillId="0" borderId="15" xfId="0" applyFont="1" applyBorder="1" applyAlignment="1">
      <alignment horizontal="left" wrapText="1"/>
    </xf>
    <xf numFmtId="0" fontId="4" fillId="0" borderId="16" xfId="0" applyFont="1" applyBorder="1" applyAlignment="1">
      <alignment horizontal="left" wrapText="1"/>
    </xf>
    <xf numFmtId="0" fontId="4" fillId="0" borderId="24" xfId="0" applyFont="1" applyBorder="1" applyAlignment="1">
      <alignment horizontal="left" wrapText="1"/>
    </xf>
    <xf numFmtId="0" fontId="4" fillId="0" borderId="12" xfId="0" applyFont="1" applyBorder="1" applyAlignment="1">
      <alignment horizontal="left" wrapText="1"/>
    </xf>
    <xf numFmtId="0" fontId="4" fillId="0" borderId="13" xfId="0" applyFont="1" applyBorder="1" applyAlignment="1">
      <alignment horizontal="left" wrapText="1"/>
    </xf>
    <xf numFmtId="0" fontId="4" fillId="0" borderId="1" xfId="0" applyFont="1" applyBorder="1" applyAlignment="1">
      <alignment horizontal="left"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2" fillId="0" borderId="11" xfId="0" applyFont="1" applyBorder="1" applyAlignment="1">
      <alignment horizontal="center" wrapText="1"/>
    </xf>
    <xf numFmtId="0" fontId="1" fillId="0" borderId="0" xfId="0" applyFont="1" applyAlignment="1">
      <alignment horizontal="center" wrapText="1"/>
    </xf>
    <xf numFmtId="0" fontId="4" fillId="0" borderId="17" xfId="0" applyFont="1" applyBorder="1" applyAlignment="1">
      <alignment horizontal="left"/>
    </xf>
    <xf numFmtId="0" fontId="4" fillId="0" borderId="18" xfId="0" applyFont="1" applyBorder="1" applyAlignment="1">
      <alignment horizontal="left"/>
    </xf>
    <xf numFmtId="0" fontId="4" fillId="0" borderId="19" xfId="0" applyFont="1" applyBorder="1" applyAlignment="1">
      <alignment horizontal="left"/>
    </xf>
    <xf numFmtId="0" fontId="4" fillId="0" borderId="20" xfId="0" applyFont="1" applyBorder="1" applyAlignment="1">
      <alignment horizontal="left"/>
    </xf>
    <xf numFmtId="0" fontId="4" fillId="0" borderId="15" xfId="0" applyFont="1" applyBorder="1" applyAlignment="1">
      <alignment horizontal="left"/>
    </xf>
    <xf numFmtId="0" fontId="4" fillId="0" borderId="16" xfId="0" applyFont="1" applyBorder="1" applyAlignment="1">
      <alignment horizontal="left"/>
    </xf>
    <xf numFmtId="0" fontId="5" fillId="0" borderId="0" xfId="0" applyFont="1" applyAlignment="1">
      <alignment horizontal="center" wrapText="1"/>
    </xf>
    <xf numFmtId="0" fontId="3" fillId="0" borderId="20" xfId="0" applyFont="1" applyBorder="1" applyAlignment="1">
      <alignment horizontal="left" wrapText="1"/>
    </xf>
    <xf numFmtId="0" fontId="3" fillId="0" borderId="15" xfId="0" applyFont="1" applyBorder="1" applyAlignment="1">
      <alignment horizontal="left" wrapText="1"/>
    </xf>
    <xf numFmtId="0" fontId="3" fillId="0" borderId="16" xfId="0" applyFont="1" applyBorder="1" applyAlignment="1">
      <alignment horizontal="left" wrapText="1"/>
    </xf>
    <xf numFmtId="0" fontId="3" fillId="0" borderId="21" xfId="0" applyFont="1" applyBorder="1" applyAlignment="1">
      <alignment horizontal="left" wrapText="1"/>
    </xf>
    <xf numFmtId="0" fontId="3" fillId="0" borderId="22" xfId="0" applyFont="1" applyBorder="1" applyAlignment="1">
      <alignment horizontal="left" wrapText="1"/>
    </xf>
    <xf numFmtId="0" fontId="3" fillId="0" borderId="23" xfId="0" applyFont="1" applyBorder="1" applyAlignment="1">
      <alignment horizontal="left"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7" fillId="0" borderId="1" xfId="0" applyFont="1" applyBorder="1" applyAlignment="1">
      <alignment horizontal="center"/>
    </xf>
    <xf numFmtId="0" fontId="4" fillId="0" borderId="25" xfId="0" applyFont="1" applyBorder="1" applyAlignment="1">
      <alignment horizontal="left" wrapText="1"/>
    </xf>
    <xf numFmtId="0" fontId="1" fillId="0" borderId="28"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25" xfId="0" applyFont="1" applyBorder="1" applyAlignment="1">
      <alignment horizontal="center"/>
    </xf>
    <xf numFmtId="0" fontId="1" fillId="0" borderId="1" xfId="0" applyFont="1" applyBorder="1" applyAlignment="1">
      <alignment horizontal="center"/>
    </xf>
    <xf numFmtId="0" fontId="1" fillId="0" borderId="14" xfId="0" applyFont="1" applyBorder="1" applyAlignment="1">
      <alignment horizontal="center"/>
    </xf>
    <xf numFmtId="0" fontId="7" fillId="0" borderId="29" xfId="0" applyFont="1" applyBorder="1" applyAlignment="1">
      <alignment horizontal="center"/>
    </xf>
    <xf numFmtId="0" fontId="7" fillId="0" borderId="33" xfId="0" applyFont="1" applyBorder="1" applyAlignment="1">
      <alignment horizontal="center"/>
    </xf>
    <xf numFmtId="0" fontId="7" fillId="0" borderId="55" xfId="0" applyFont="1" applyBorder="1" applyAlignment="1">
      <alignment horizontal="center"/>
    </xf>
    <xf numFmtId="164" fontId="0" fillId="0" borderId="47" xfId="1" applyNumberFormat="1" applyFont="1" applyFill="1" applyBorder="1" applyAlignment="1">
      <alignment horizontal="center" vertical="center"/>
    </xf>
    <xf numFmtId="164" fontId="0" fillId="0" borderId="48" xfId="1" applyNumberFormat="1" applyFont="1" applyFill="1" applyBorder="1" applyAlignment="1">
      <alignment horizontal="center" vertical="center"/>
    </xf>
    <xf numFmtId="164" fontId="0" fillId="0" borderId="39" xfId="1" applyNumberFormat="1" applyFont="1" applyFill="1" applyBorder="1" applyAlignment="1">
      <alignment horizontal="center" vertical="center"/>
    </xf>
    <xf numFmtId="0" fontId="5" fillId="0" borderId="31" xfId="0" applyFont="1" applyBorder="1" applyAlignment="1">
      <alignment horizontal="center"/>
    </xf>
    <xf numFmtId="0" fontId="5" fillId="0" borderId="30" xfId="0" applyFont="1" applyBorder="1" applyAlignment="1">
      <alignment horizontal="center"/>
    </xf>
    <xf numFmtId="0" fontId="8" fillId="0" borderId="10" xfId="0" applyFont="1" applyBorder="1" applyAlignment="1">
      <alignment horizontal="center"/>
    </xf>
    <xf numFmtId="0" fontId="5" fillId="0" borderId="29" xfId="0" applyFont="1" applyBorder="1" applyAlignment="1">
      <alignment horizontal="center"/>
    </xf>
    <xf numFmtId="0" fontId="5" fillId="0" borderId="33" xfId="0" applyFont="1" applyBorder="1" applyAlignment="1">
      <alignment horizontal="center"/>
    </xf>
    <xf numFmtId="0" fontId="5" fillId="0" borderId="34" xfId="0" applyFont="1" applyBorder="1" applyAlignment="1">
      <alignment horizont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10" fillId="0" borderId="20" xfId="0" applyFont="1" applyBorder="1" applyAlignment="1">
      <alignment horizontal="center"/>
    </xf>
    <xf numFmtId="0" fontId="10" fillId="0" borderId="16" xfId="0" applyFont="1" applyBorder="1" applyAlignment="1">
      <alignment horizontal="center"/>
    </xf>
    <xf numFmtId="0" fontId="10" fillId="0" borderId="17" xfId="0" applyFont="1" applyBorder="1" applyAlignment="1">
      <alignment horizontal="center"/>
    </xf>
    <xf numFmtId="0" fontId="10" fillId="0" borderId="19" xfId="0" applyFont="1" applyBorder="1" applyAlignment="1">
      <alignment horizontal="center"/>
    </xf>
    <xf numFmtId="0" fontId="7" fillId="0" borderId="21" xfId="0" applyFont="1" applyBorder="1" applyAlignment="1">
      <alignment horizontal="center"/>
    </xf>
    <xf numFmtId="0" fontId="7" fillId="0" borderId="23" xfId="0" applyFont="1" applyBorder="1" applyAlignment="1">
      <alignment horizontal="center"/>
    </xf>
    <xf numFmtId="0" fontId="0" fillId="0" borderId="51" xfId="0" applyBorder="1" applyAlignment="1">
      <alignment horizontal="center" vertical="center"/>
    </xf>
    <xf numFmtId="0" fontId="0" fillId="0" borderId="15" xfId="0" applyBorder="1" applyAlignment="1">
      <alignment horizontal="center" vertical="center"/>
    </xf>
    <xf numFmtId="0" fontId="0" fillId="0" borderId="0" xfId="0" applyAlignment="1">
      <alignment horizontal="center"/>
    </xf>
    <xf numFmtId="0" fontId="1" fillId="0" borderId="51" xfId="0" applyFont="1" applyBorder="1" applyAlignment="1">
      <alignment horizontal="center" vertical="top"/>
    </xf>
    <xf numFmtId="0" fontId="1" fillId="0" borderId="16" xfId="0" applyFont="1" applyBorder="1" applyAlignment="1">
      <alignment horizontal="center" vertical="top"/>
    </xf>
    <xf numFmtId="0" fontId="1" fillId="0" borderId="0" xfId="0" applyFont="1" applyAlignment="1">
      <alignment horizontal="center"/>
    </xf>
    <xf numFmtId="0" fontId="1" fillId="0" borderId="51" xfId="0" applyFont="1" applyBorder="1" applyAlignment="1">
      <alignment horizontal="center"/>
    </xf>
    <xf numFmtId="0" fontId="1" fillId="0" borderId="16" xfId="0" applyFont="1" applyBorder="1" applyAlignment="1">
      <alignment horizontal="center"/>
    </xf>
    <xf numFmtId="0" fontId="30" fillId="0" borderId="1" xfId="0" applyFont="1" applyBorder="1" applyAlignment="1">
      <alignment horizontal="left" wrapText="1"/>
    </xf>
    <xf numFmtId="0" fontId="29" fillId="0" borderId="47" xfId="0" applyFont="1" applyBorder="1" applyAlignment="1">
      <alignment horizontal="center" vertical="center" wrapText="1"/>
    </xf>
    <xf numFmtId="0" fontId="29" fillId="0" borderId="39" xfId="0" applyFont="1" applyBorder="1" applyAlignment="1">
      <alignment horizontal="center" vertical="center" wrapText="1"/>
    </xf>
    <xf numFmtId="0" fontId="7" fillId="0" borderId="0" xfId="0" applyFont="1" applyAlignment="1">
      <alignment horizontal="center"/>
    </xf>
    <xf numFmtId="0" fontId="7" fillId="0" borderId="47" xfId="0" applyFont="1" applyBorder="1" applyAlignment="1">
      <alignment horizontal="center" vertical="center"/>
    </xf>
    <xf numFmtId="0" fontId="7" fillId="0" borderId="39" xfId="0" applyFont="1" applyBorder="1" applyAlignment="1">
      <alignment horizontal="center" vertical="center"/>
    </xf>
    <xf numFmtId="0" fontId="0" fillId="0" borderId="1" xfId="0" applyBorder="1" applyAlignment="1">
      <alignment horizontal="center"/>
    </xf>
    <xf numFmtId="0" fontId="1" fillId="0" borderId="15" xfId="0" applyFont="1" applyBorder="1" applyAlignment="1">
      <alignment horizontal="center"/>
    </xf>
    <xf numFmtId="0" fontId="1" fillId="0" borderId="47" xfId="0" applyFont="1" applyBorder="1" applyAlignment="1">
      <alignment horizontal="center" wrapText="1"/>
    </xf>
    <xf numFmtId="0" fontId="1" fillId="0" borderId="39" xfId="0" applyFont="1" applyBorder="1" applyAlignment="1">
      <alignment horizontal="center" wrapText="1"/>
    </xf>
    <xf numFmtId="0" fontId="7" fillId="0" borderId="1" xfId="0" applyFont="1" applyBorder="1" applyAlignment="1">
      <alignment horizontal="center" vertical="center"/>
    </xf>
    <xf numFmtId="0" fontId="0" fillId="0" borderId="40" xfId="0" applyBorder="1" applyAlignment="1">
      <alignment horizontal="center" vertical="center"/>
    </xf>
    <xf numFmtId="0" fontId="0" fillId="0" borderId="61" xfId="0" applyBorder="1" applyAlignment="1">
      <alignment horizontal="center" vertical="center"/>
    </xf>
    <xf numFmtId="0" fontId="9" fillId="0" borderId="0" xfId="0" applyFont="1" applyAlignment="1">
      <alignment horizontal="center" wrapText="1"/>
    </xf>
    <xf numFmtId="0" fontId="31" fillId="0" borderId="2" xfId="0" applyFont="1" applyBorder="1" applyAlignment="1">
      <alignment horizontal="center" wrapText="1"/>
    </xf>
    <xf numFmtId="0" fontId="31" fillId="0" borderId="3" xfId="0" applyFont="1" applyBorder="1" applyAlignment="1">
      <alignment horizontal="center" wrapText="1"/>
    </xf>
    <xf numFmtId="0" fontId="2" fillId="0" borderId="41" xfId="0" applyFont="1" applyBorder="1" applyAlignment="1">
      <alignment horizontal="center" vertical="center"/>
    </xf>
    <xf numFmtId="0" fontId="2" fillId="0" borderId="38" xfId="0" applyFont="1" applyBorder="1" applyAlignment="1">
      <alignment horizontal="center" vertical="center"/>
    </xf>
    <xf numFmtId="0" fontId="31" fillId="0" borderId="42" xfId="0" applyFont="1" applyBorder="1" applyAlignment="1">
      <alignment horizontal="center" vertical="center" wrapText="1"/>
    </xf>
    <xf numFmtId="0" fontId="31" fillId="0" borderId="39" xfId="0" applyFont="1" applyBorder="1" applyAlignment="1">
      <alignment horizontal="center" vertical="center" wrapText="1"/>
    </xf>
    <xf numFmtId="0" fontId="31" fillId="0" borderId="32" xfId="0" applyFont="1" applyBorder="1" applyAlignment="1">
      <alignment horizontal="center" vertical="center" wrapText="1"/>
    </xf>
    <xf numFmtId="0" fontId="31" fillId="0" borderId="40" xfId="0" applyFont="1" applyBorder="1" applyAlignment="1">
      <alignment horizontal="center" vertical="center" wrapText="1"/>
    </xf>
    <xf numFmtId="0" fontId="31" fillId="0" borderId="42" xfId="0" applyFont="1" applyBorder="1" applyAlignment="1">
      <alignment horizontal="center" vertical="center"/>
    </xf>
    <xf numFmtId="0" fontId="31" fillId="0" borderId="39" xfId="0" applyFont="1" applyBorder="1" applyAlignment="1">
      <alignment horizontal="center" vertical="center"/>
    </xf>
    <xf numFmtId="0" fontId="31" fillId="6" borderId="47" xfId="0" applyFont="1" applyFill="1" applyBorder="1" applyAlignment="1">
      <alignment horizontal="center" vertical="center" wrapText="1"/>
    </xf>
    <xf numFmtId="0" fontId="31" fillId="6" borderId="48" xfId="0" applyFont="1" applyFill="1" applyBorder="1" applyAlignment="1">
      <alignment horizontal="center" vertical="center" wrapText="1"/>
    </xf>
    <xf numFmtId="0" fontId="31" fillId="6" borderId="39" xfId="0" applyFont="1" applyFill="1" applyBorder="1" applyAlignment="1">
      <alignment horizontal="center" vertical="center" wrapText="1"/>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31" fillId="3" borderId="47" xfId="0" applyFont="1" applyFill="1" applyBorder="1" applyAlignment="1">
      <alignment horizontal="center" vertical="center" wrapText="1"/>
    </xf>
    <xf numFmtId="0" fontId="31" fillId="3" borderId="48" xfId="0" applyFont="1" applyFill="1" applyBorder="1" applyAlignment="1">
      <alignment horizontal="center" vertical="center" wrapText="1"/>
    </xf>
    <xf numFmtId="0" fontId="31" fillId="3" borderId="39" xfId="0" applyFont="1" applyFill="1" applyBorder="1" applyAlignment="1">
      <alignment horizontal="center" vertical="center" wrapText="1"/>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38" xfId="0" applyFont="1" applyBorder="1" applyAlignment="1">
      <alignment horizontal="center" vertical="center"/>
    </xf>
    <xf numFmtId="0" fontId="31" fillId="9" borderId="47" xfId="0" applyFont="1" applyFill="1" applyBorder="1" applyAlignment="1">
      <alignment horizontal="center" vertical="center" wrapText="1"/>
    </xf>
    <xf numFmtId="0" fontId="31" fillId="9" borderId="48" xfId="0" applyFont="1" applyFill="1" applyBorder="1" applyAlignment="1">
      <alignment horizontal="center" vertical="center" wrapText="1"/>
    </xf>
    <xf numFmtId="0" fontId="31" fillId="9" borderId="39" xfId="0" applyFont="1" applyFill="1" applyBorder="1" applyAlignment="1">
      <alignment horizontal="center" vertical="center" wrapText="1"/>
    </xf>
    <xf numFmtId="0" fontId="31" fillId="8" borderId="47" xfId="0" applyFont="1" applyFill="1" applyBorder="1" applyAlignment="1">
      <alignment horizontal="center" vertical="center" wrapText="1"/>
    </xf>
    <xf numFmtId="0" fontId="31" fillId="8" borderId="48" xfId="0" applyFont="1" applyFill="1" applyBorder="1" applyAlignment="1">
      <alignment horizontal="center" vertical="center" wrapText="1"/>
    </xf>
    <xf numFmtId="0" fontId="31" fillId="8" borderId="39" xfId="0" applyFont="1" applyFill="1" applyBorder="1" applyAlignment="1">
      <alignment horizontal="center" vertical="center" wrapText="1"/>
    </xf>
    <xf numFmtId="0" fontId="31" fillId="10" borderId="47" xfId="0" applyFont="1" applyFill="1" applyBorder="1" applyAlignment="1">
      <alignment horizontal="center" vertical="center" wrapText="1"/>
    </xf>
    <xf numFmtId="0" fontId="31" fillId="10" borderId="48" xfId="0" applyFont="1" applyFill="1" applyBorder="1" applyAlignment="1">
      <alignment horizontal="center" vertical="center" wrapText="1"/>
    </xf>
    <xf numFmtId="0" fontId="31" fillId="10" borderId="39" xfId="0" applyFont="1" applyFill="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447675</xdr:colOff>
      <xdr:row>0</xdr:row>
      <xdr:rowOff>0</xdr:rowOff>
    </xdr:from>
    <xdr:to>
      <xdr:col>0</xdr:col>
      <xdr:colOff>1216381</xdr:colOff>
      <xdr:row>3</xdr:row>
      <xdr:rowOff>333375</xdr:rowOff>
    </xdr:to>
    <xdr:pic>
      <xdr:nvPicPr>
        <xdr:cNvPr id="2" name="Picture 6" descr="Logo 13">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47675" y="0"/>
          <a:ext cx="768706" cy="9239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4"/>
  <sheetViews>
    <sheetView tabSelected="1" topLeftCell="A112" workbookViewId="0">
      <selection activeCell="E114" sqref="E114"/>
    </sheetView>
  </sheetViews>
  <sheetFormatPr defaultRowHeight="15" x14ac:dyDescent="0.25"/>
  <cols>
    <col min="1" max="1" width="12.28515625" customWidth="1"/>
    <col min="2" max="2" width="18" customWidth="1"/>
    <col min="3" max="3" width="16" customWidth="1"/>
    <col min="4" max="4" width="18.28515625" customWidth="1"/>
    <col min="5" max="5" width="13.85546875" customWidth="1"/>
    <col min="6" max="6" width="14.42578125" customWidth="1"/>
    <col min="7" max="7" width="14.5703125" customWidth="1"/>
  </cols>
  <sheetData>
    <row r="1" spans="1:11" ht="18.75" x14ac:dyDescent="0.3">
      <c r="A1" s="13"/>
      <c r="B1" s="13"/>
      <c r="C1" s="13"/>
      <c r="D1" s="13"/>
      <c r="E1" s="13"/>
      <c r="F1" s="13"/>
      <c r="G1" s="13"/>
      <c r="H1" s="13"/>
      <c r="I1" s="13"/>
      <c r="J1" s="13"/>
      <c r="K1" s="13"/>
    </row>
    <row r="2" spans="1:11" ht="18.75" x14ac:dyDescent="0.25">
      <c r="D2" s="18" t="s">
        <v>493</v>
      </c>
    </row>
    <row r="4" spans="1:11" ht="15.75" thickBot="1" x14ac:dyDescent="0.3"/>
    <row r="5" spans="1:11" ht="65.25" customHeight="1" x14ac:dyDescent="0.25">
      <c r="A5" s="176" t="s">
        <v>46</v>
      </c>
      <c r="B5" s="177" t="s">
        <v>24</v>
      </c>
      <c r="C5" s="177" t="s">
        <v>47</v>
      </c>
      <c r="D5" s="177" t="s">
        <v>48</v>
      </c>
      <c r="E5" s="177" t="s">
        <v>49</v>
      </c>
      <c r="F5" s="177" t="s">
        <v>50</v>
      </c>
      <c r="G5" s="178" t="s">
        <v>51</v>
      </c>
      <c r="H5" s="44"/>
    </row>
    <row r="6" spans="1:11" ht="24.95" customHeight="1" x14ac:dyDescent="0.25">
      <c r="A6" s="215" t="s">
        <v>4</v>
      </c>
      <c r="B6" s="25" t="s">
        <v>64</v>
      </c>
      <c r="C6" s="26" t="s">
        <v>75</v>
      </c>
      <c r="D6" s="51" t="s">
        <v>257</v>
      </c>
      <c r="E6" s="1">
        <f>68+58+75</f>
        <v>201</v>
      </c>
      <c r="F6" s="1">
        <v>10</v>
      </c>
      <c r="G6" s="58">
        <f>396-279</f>
        <v>117</v>
      </c>
    </row>
    <row r="7" spans="1:11" ht="24.95" customHeight="1" x14ac:dyDescent="0.25">
      <c r="A7" s="216"/>
      <c r="B7" s="25" t="s">
        <v>65</v>
      </c>
      <c r="C7" s="26" t="s">
        <v>75</v>
      </c>
      <c r="D7" s="51" t="s">
        <v>257</v>
      </c>
      <c r="E7" s="1">
        <f>49+79+97</f>
        <v>225</v>
      </c>
      <c r="F7" s="1">
        <v>5</v>
      </c>
      <c r="G7" s="59">
        <f>321-185</f>
        <v>136</v>
      </c>
    </row>
    <row r="8" spans="1:11" ht="24.95" customHeight="1" x14ac:dyDescent="0.25">
      <c r="A8" s="216"/>
      <c r="B8" s="25" t="s">
        <v>66</v>
      </c>
      <c r="C8" s="26" t="s">
        <v>75</v>
      </c>
      <c r="D8" s="51" t="s">
        <v>257</v>
      </c>
      <c r="E8" s="1">
        <f>115+114+108</f>
        <v>337</v>
      </c>
      <c r="F8" s="1">
        <v>34</v>
      </c>
      <c r="G8" s="59">
        <f>242-113</f>
        <v>129</v>
      </c>
    </row>
    <row r="9" spans="1:11" ht="30" x14ac:dyDescent="0.25">
      <c r="A9" s="216"/>
      <c r="B9" s="25" t="s">
        <v>67</v>
      </c>
      <c r="C9" s="26" t="s">
        <v>75</v>
      </c>
      <c r="D9" s="51" t="s">
        <v>257</v>
      </c>
      <c r="E9" s="1">
        <f>41+39+52</f>
        <v>132</v>
      </c>
      <c r="F9" s="1">
        <v>1</v>
      </c>
      <c r="G9" s="59">
        <f>292-149</f>
        <v>143</v>
      </c>
    </row>
    <row r="10" spans="1:11" ht="30" x14ac:dyDescent="0.25">
      <c r="A10" s="216"/>
      <c r="B10" s="25" t="s">
        <v>68</v>
      </c>
      <c r="C10" s="26" t="s">
        <v>75</v>
      </c>
      <c r="D10" s="51" t="s">
        <v>257</v>
      </c>
      <c r="E10" s="1">
        <f>27+39+39</f>
        <v>105</v>
      </c>
      <c r="F10" s="1">
        <v>4</v>
      </c>
      <c r="G10" s="59">
        <f>146-104</f>
        <v>42</v>
      </c>
    </row>
    <row r="11" spans="1:11" ht="30" x14ac:dyDescent="0.25">
      <c r="A11" s="216"/>
      <c r="B11" s="25" t="s">
        <v>69</v>
      </c>
      <c r="C11" s="26" t="s">
        <v>75</v>
      </c>
      <c r="D11" s="51" t="s">
        <v>257</v>
      </c>
      <c r="E11" s="1">
        <f>24+18+14</f>
        <v>56</v>
      </c>
      <c r="F11" s="1">
        <v>1</v>
      </c>
      <c r="G11" s="59">
        <f>32-2</f>
        <v>30</v>
      </c>
    </row>
    <row r="12" spans="1:11" ht="45" x14ac:dyDescent="0.25">
      <c r="A12" s="216"/>
      <c r="B12" s="25" t="s">
        <v>70</v>
      </c>
      <c r="C12" s="26" t="s">
        <v>75</v>
      </c>
      <c r="D12" s="51" t="s">
        <v>257</v>
      </c>
      <c r="E12" s="1">
        <f>24+30+27</f>
        <v>81</v>
      </c>
      <c r="F12" s="1"/>
      <c r="G12" s="59">
        <f>322-183</f>
        <v>139</v>
      </c>
    </row>
    <row r="13" spans="1:11" ht="45" x14ac:dyDescent="0.25">
      <c r="A13" s="216"/>
      <c r="B13" s="25" t="s">
        <v>71</v>
      </c>
      <c r="C13" s="26" t="s">
        <v>75</v>
      </c>
      <c r="D13" s="51" t="s">
        <v>257</v>
      </c>
      <c r="E13" s="1">
        <f>0+0+2</f>
        <v>2</v>
      </c>
      <c r="F13" s="1"/>
      <c r="G13" s="59">
        <f>139-89</f>
        <v>50</v>
      </c>
    </row>
    <row r="14" spans="1:11" ht="30" x14ac:dyDescent="0.25">
      <c r="A14" s="216"/>
      <c r="B14" s="25" t="s">
        <v>72</v>
      </c>
      <c r="C14" s="26" t="s">
        <v>75</v>
      </c>
      <c r="D14" s="51" t="s">
        <v>257</v>
      </c>
      <c r="E14" s="1">
        <f>0+0+10</f>
        <v>10</v>
      </c>
      <c r="F14" s="1"/>
      <c r="G14" s="59">
        <f>269-260</f>
        <v>9</v>
      </c>
    </row>
    <row r="15" spans="1:11" ht="30" x14ac:dyDescent="0.25">
      <c r="A15" s="216"/>
      <c r="B15" s="25" t="s">
        <v>73</v>
      </c>
      <c r="C15" s="26" t="s">
        <v>75</v>
      </c>
      <c r="D15" s="51" t="s">
        <v>258</v>
      </c>
      <c r="E15" s="1">
        <f>7+0+0</f>
        <v>7</v>
      </c>
      <c r="F15" s="1"/>
      <c r="G15" s="59">
        <v>0</v>
      </c>
    </row>
    <row r="16" spans="1:11" ht="30" x14ac:dyDescent="0.25">
      <c r="A16" s="216"/>
      <c r="B16" s="27" t="s">
        <v>74</v>
      </c>
      <c r="C16" s="28" t="s">
        <v>76</v>
      </c>
      <c r="D16" s="51" t="s">
        <v>257</v>
      </c>
      <c r="E16" s="1">
        <f>18+22</f>
        <v>40</v>
      </c>
      <c r="F16" s="1"/>
      <c r="G16" s="2">
        <v>0</v>
      </c>
    </row>
    <row r="17" spans="1:7" ht="30" x14ac:dyDescent="0.25">
      <c r="A17" s="216"/>
      <c r="B17" s="29" t="s">
        <v>77</v>
      </c>
      <c r="C17" s="26" t="s">
        <v>82</v>
      </c>
      <c r="D17" s="51" t="s">
        <v>257</v>
      </c>
      <c r="E17" s="1">
        <f>24+36</f>
        <v>60</v>
      </c>
      <c r="F17" s="1"/>
      <c r="G17" s="2">
        <v>100</v>
      </c>
    </row>
    <row r="18" spans="1:7" ht="30" x14ac:dyDescent="0.25">
      <c r="A18" s="216"/>
      <c r="B18" s="29" t="s">
        <v>67</v>
      </c>
      <c r="C18" s="26" t="s">
        <v>82</v>
      </c>
      <c r="D18" s="51" t="s">
        <v>257</v>
      </c>
      <c r="E18" s="1">
        <f>40+34</f>
        <v>74</v>
      </c>
      <c r="F18" s="1"/>
      <c r="G18" s="2">
        <v>59</v>
      </c>
    </row>
    <row r="19" spans="1:7" ht="24.95" customHeight="1" x14ac:dyDescent="0.25">
      <c r="A19" s="216"/>
      <c r="B19" s="29" t="s">
        <v>78</v>
      </c>
      <c r="C19" s="26" t="s">
        <v>82</v>
      </c>
      <c r="D19" s="51" t="s">
        <v>257</v>
      </c>
      <c r="E19" s="1">
        <f>22+18</f>
        <v>40</v>
      </c>
      <c r="F19" s="1"/>
      <c r="G19" s="2">
        <v>111</v>
      </c>
    </row>
    <row r="20" spans="1:7" ht="24.95" customHeight="1" x14ac:dyDescent="0.25">
      <c r="A20" s="216"/>
      <c r="B20" s="29" t="s">
        <v>79</v>
      </c>
      <c r="C20" s="26" t="s">
        <v>82</v>
      </c>
      <c r="D20" s="51" t="s">
        <v>257</v>
      </c>
      <c r="E20" s="1">
        <f>29+41</f>
        <v>70</v>
      </c>
      <c r="F20" s="1"/>
      <c r="G20" s="2">
        <v>68</v>
      </c>
    </row>
    <row r="21" spans="1:7" ht="24.95" customHeight="1" x14ac:dyDescent="0.25">
      <c r="A21" s="216"/>
      <c r="B21" s="29" t="s">
        <v>80</v>
      </c>
      <c r="C21" s="26" t="s">
        <v>82</v>
      </c>
      <c r="D21" s="51" t="s">
        <v>257</v>
      </c>
      <c r="E21" s="1">
        <f>69+43</f>
        <v>112</v>
      </c>
      <c r="F21" s="1"/>
      <c r="G21" s="2">
        <v>40</v>
      </c>
    </row>
    <row r="22" spans="1:7" ht="45" x14ac:dyDescent="0.25">
      <c r="A22" s="216"/>
      <c r="B22" s="29" t="s">
        <v>81</v>
      </c>
      <c r="C22" s="26" t="s">
        <v>82</v>
      </c>
      <c r="D22" s="51" t="s">
        <v>257</v>
      </c>
      <c r="E22" s="1">
        <f>10+17</f>
        <v>27</v>
      </c>
      <c r="F22" s="1"/>
      <c r="G22" s="2">
        <v>22</v>
      </c>
    </row>
    <row r="23" spans="1:7" ht="30" x14ac:dyDescent="0.25">
      <c r="A23" s="216"/>
      <c r="B23" s="25" t="s">
        <v>83</v>
      </c>
      <c r="C23" s="28" t="s">
        <v>92</v>
      </c>
      <c r="D23" s="51" t="s">
        <v>257</v>
      </c>
      <c r="E23" s="1">
        <v>9</v>
      </c>
      <c r="F23" s="1"/>
      <c r="G23" s="2">
        <v>116</v>
      </c>
    </row>
    <row r="24" spans="1:7" ht="30" x14ac:dyDescent="0.25">
      <c r="A24" s="216"/>
      <c r="B24" s="25" t="s">
        <v>84</v>
      </c>
      <c r="C24" s="28" t="s">
        <v>92</v>
      </c>
      <c r="D24" s="51" t="s">
        <v>257</v>
      </c>
      <c r="E24" s="1">
        <v>17</v>
      </c>
      <c r="F24" s="1"/>
      <c r="G24" s="2">
        <v>80</v>
      </c>
    </row>
    <row r="25" spans="1:7" ht="30" x14ac:dyDescent="0.25">
      <c r="A25" s="216"/>
      <c r="B25" s="25" t="s">
        <v>85</v>
      </c>
      <c r="C25" s="28" t="s">
        <v>92</v>
      </c>
      <c r="D25" s="51" t="s">
        <v>257</v>
      </c>
      <c r="E25" s="1">
        <v>15</v>
      </c>
      <c r="F25" s="1"/>
      <c r="G25" s="2">
        <v>114</v>
      </c>
    </row>
    <row r="26" spans="1:7" ht="30" x14ac:dyDescent="0.25">
      <c r="A26" s="216"/>
      <c r="B26" s="25" t="s">
        <v>86</v>
      </c>
      <c r="C26" s="28" t="s">
        <v>92</v>
      </c>
      <c r="D26" s="51" t="s">
        <v>257</v>
      </c>
      <c r="E26" s="1">
        <v>8</v>
      </c>
      <c r="F26" s="1"/>
      <c r="G26" s="2">
        <v>15</v>
      </c>
    </row>
    <row r="27" spans="1:7" ht="30" x14ac:dyDescent="0.25">
      <c r="A27" s="216"/>
      <c r="B27" s="25" t="s">
        <v>87</v>
      </c>
      <c r="C27" s="28" t="s">
        <v>92</v>
      </c>
      <c r="D27" s="51" t="s">
        <v>257</v>
      </c>
      <c r="E27" s="1">
        <v>0</v>
      </c>
      <c r="F27" s="1"/>
      <c r="G27" s="2">
        <v>6</v>
      </c>
    </row>
    <row r="28" spans="1:7" ht="30" x14ac:dyDescent="0.25">
      <c r="A28" s="216"/>
      <c r="B28" s="25" t="s">
        <v>88</v>
      </c>
      <c r="C28" s="28" t="s">
        <v>92</v>
      </c>
      <c r="D28" s="51" t="s">
        <v>257</v>
      </c>
      <c r="E28" s="1">
        <v>4</v>
      </c>
      <c r="F28" s="1"/>
      <c r="G28" s="2">
        <v>3</v>
      </c>
    </row>
    <row r="29" spans="1:7" ht="45" x14ac:dyDescent="0.25">
      <c r="A29" s="216"/>
      <c r="B29" s="25" t="s">
        <v>89</v>
      </c>
      <c r="C29" s="28" t="s">
        <v>92</v>
      </c>
      <c r="D29" s="51" t="s">
        <v>257</v>
      </c>
      <c r="E29" s="1">
        <v>0</v>
      </c>
      <c r="F29" s="1"/>
      <c r="G29" s="2">
        <v>1</v>
      </c>
    </row>
    <row r="30" spans="1:7" ht="45" x14ac:dyDescent="0.25">
      <c r="A30" s="216"/>
      <c r="B30" s="29" t="s">
        <v>90</v>
      </c>
      <c r="C30" s="28" t="s">
        <v>92</v>
      </c>
      <c r="D30" s="51" t="s">
        <v>257</v>
      </c>
      <c r="E30" s="1">
        <v>17</v>
      </c>
      <c r="F30" s="1"/>
      <c r="G30" s="2">
        <v>0</v>
      </c>
    </row>
    <row r="31" spans="1:7" ht="30" x14ac:dyDescent="0.25">
      <c r="A31" s="217"/>
      <c r="B31" s="25" t="s">
        <v>91</v>
      </c>
      <c r="C31" s="28" t="s">
        <v>92</v>
      </c>
      <c r="D31" s="51" t="s">
        <v>257</v>
      </c>
      <c r="E31" s="1">
        <v>0</v>
      </c>
      <c r="F31" s="1"/>
      <c r="G31" s="2">
        <v>9</v>
      </c>
    </row>
    <row r="32" spans="1:7" ht="23.25" customHeight="1" x14ac:dyDescent="0.25">
      <c r="A32" s="218" t="s">
        <v>6</v>
      </c>
      <c r="B32" s="35" t="s">
        <v>93</v>
      </c>
      <c r="C32" s="30" t="s">
        <v>75</v>
      </c>
      <c r="D32" s="51" t="s">
        <v>257</v>
      </c>
      <c r="E32" s="1">
        <v>0</v>
      </c>
      <c r="F32" s="1">
        <v>25</v>
      </c>
      <c r="G32" s="60">
        <f>283-103</f>
        <v>180</v>
      </c>
    </row>
    <row r="33" spans="1:7" ht="23.25" customHeight="1" x14ac:dyDescent="0.25">
      <c r="A33" s="219"/>
      <c r="B33" s="35" t="s">
        <v>94</v>
      </c>
      <c r="C33" s="30" t="s">
        <v>75</v>
      </c>
      <c r="D33" s="51" t="s">
        <v>257</v>
      </c>
      <c r="E33" s="1">
        <f>9+30+26</f>
        <v>65</v>
      </c>
      <c r="F33" s="1"/>
      <c r="G33" s="60">
        <f>150-49</f>
        <v>101</v>
      </c>
    </row>
    <row r="34" spans="1:7" ht="23.25" customHeight="1" x14ac:dyDescent="0.25">
      <c r="A34" s="219"/>
      <c r="B34" s="35" t="s">
        <v>95</v>
      </c>
      <c r="C34" s="30" t="s">
        <v>75</v>
      </c>
      <c r="D34" s="51" t="s">
        <v>257</v>
      </c>
      <c r="E34" s="1">
        <f>39+41+41</f>
        <v>121</v>
      </c>
      <c r="F34" s="1">
        <v>1</v>
      </c>
      <c r="G34" s="60">
        <f>101-45</f>
        <v>56</v>
      </c>
    </row>
    <row r="35" spans="1:7" ht="23.25" customHeight="1" x14ac:dyDescent="0.25">
      <c r="A35" s="219"/>
      <c r="B35" s="35" t="s">
        <v>96</v>
      </c>
      <c r="C35" s="30" t="s">
        <v>75</v>
      </c>
      <c r="D35" s="51" t="s">
        <v>257</v>
      </c>
      <c r="E35" s="1">
        <f>0+10+17</f>
        <v>27</v>
      </c>
      <c r="F35" s="1">
        <v>2</v>
      </c>
      <c r="G35" s="60">
        <f>91-17</f>
        <v>74</v>
      </c>
    </row>
    <row r="36" spans="1:7" ht="30" x14ac:dyDescent="0.25">
      <c r="A36" s="219"/>
      <c r="B36" s="35" t="s">
        <v>97</v>
      </c>
      <c r="C36" s="30" t="s">
        <v>75</v>
      </c>
      <c r="D36" s="51" t="s">
        <v>257</v>
      </c>
      <c r="E36" s="1">
        <f>16+37+41</f>
        <v>94</v>
      </c>
      <c r="F36" s="1">
        <v>1</v>
      </c>
      <c r="G36" s="60">
        <f>114-38</f>
        <v>76</v>
      </c>
    </row>
    <row r="37" spans="1:7" ht="23.25" customHeight="1" x14ac:dyDescent="0.25">
      <c r="A37" s="219"/>
      <c r="B37" s="35" t="s">
        <v>98</v>
      </c>
      <c r="C37" s="30" t="s">
        <v>75</v>
      </c>
      <c r="D37" s="51" t="s">
        <v>257</v>
      </c>
      <c r="E37" s="1">
        <f>0+0+6</f>
        <v>6</v>
      </c>
      <c r="F37" s="1"/>
      <c r="G37" s="60">
        <f>81-14</f>
        <v>67</v>
      </c>
    </row>
    <row r="38" spans="1:7" ht="45" x14ac:dyDescent="0.25">
      <c r="A38" s="219"/>
      <c r="B38" s="35" t="s">
        <v>99</v>
      </c>
      <c r="C38" s="30" t="s">
        <v>75</v>
      </c>
      <c r="D38" s="51" t="s">
        <v>257</v>
      </c>
      <c r="E38" s="1">
        <f>5+0+0</f>
        <v>5</v>
      </c>
      <c r="F38" s="1">
        <v>1</v>
      </c>
      <c r="G38" s="60">
        <v>0</v>
      </c>
    </row>
    <row r="39" spans="1:7" ht="30" x14ac:dyDescent="0.25">
      <c r="A39" s="219"/>
      <c r="B39" s="35" t="s">
        <v>100</v>
      </c>
      <c r="C39" s="30" t="s">
        <v>75</v>
      </c>
      <c r="D39" s="51" t="s">
        <v>257</v>
      </c>
      <c r="E39" s="1">
        <f>9+0+0</f>
        <v>9</v>
      </c>
      <c r="F39" s="1"/>
      <c r="G39" s="60">
        <v>0</v>
      </c>
    </row>
    <row r="40" spans="1:7" ht="45" x14ac:dyDescent="0.25">
      <c r="A40" s="219"/>
      <c r="B40" s="35" t="s">
        <v>101</v>
      </c>
      <c r="C40" s="31" t="s">
        <v>82</v>
      </c>
      <c r="D40" s="51" t="s">
        <v>257</v>
      </c>
      <c r="E40" s="1">
        <f>55+51</f>
        <v>106</v>
      </c>
      <c r="F40" s="1"/>
      <c r="G40" s="59">
        <v>128</v>
      </c>
    </row>
    <row r="41" spans="1:7" ht="30" x14ac:dyDescent="0.25">
      <c r="A41" s="219"/>
      <c r="B41" s="35" t="s">
        <v>102</v>
      </c>
      <c r="C41" s="31" t="s">
        <v>82</v>
      </c>
      <c r="D41" s="51" t="s">
        <v>257</v>
      </c>
      <c r="E41" s="1">
        <f>31+18</f>
        <v>49</v>
      </c>
      <c r="F41" s="1"/>
      <c r="G41" s="59">
        <v>84</v>
      </c>
    </row>
    <row r="42" spans="1:7" ht="23.25" customHeight="1" x14ac:dyDescent="0.25">
      <c r="A42" s="219"/>
      <c r="B42" s="35" t="s">
        <v>103</v>
      </c>
      <c r="C42" s="31" t="s">
        <v>82</v>
      </c>
      <c r="D42" s="51" t="s">
        <v>257</v>
      </c>
      <c r="E42" s="1">
        <f>84+62</f>
        <v>146</v>
      </c>
      <c r="F42" s="1"/>
      <c r="G42" s="59">
        <v>133</v>
      </c>
    </row>
    <row r="43" spans="1:7" ht="30" x14ac:dyDescent="0.25">
      <c r="A43" s="219"/>
      <c r="B43" s="35" t="s">
        <v>104</v>
      </c>
      <c r="C43" s="31" t="s">
        <v>82</v>
      </c>
      <c r="D43" s="51" t="s">
        <v>257</v>
      </c>
      <c r="E43" s="1">
        <f>44+26</f>
        <v>70</v>
      </c>
      <c r="F43" s="1"/>
      <c r="G43" s="59">
        <v>87</v>
      </c>
    </row>
    <row r="44" spans="1:7" ht="23.25" customHeight="1" x14ac:dyDescent="0.25">
      <c r="A44" s="219"/>
      <c r="B44" s="35" t="s">
        <v>105</v>
      </c>
      <c r="C44" s="31" t="s">
        <v>82</v>
      </c>
      <c r="D44" s="51" t="s">
        <v>257</v>
      </c>
      <c r="E44" s="1">
        <f>11+18</f>
        <v>29</v>
      </c>
      <c r="F44" s="1"/>
      <c r="G44" s="59">
        <v>23</v>
      </c>
    </row>
    <row r="45" spans="1:7" ht="45" x14ac:dyDescent="0.25">
      <c r="A45" s="219"/>
      <c r="B45" s="35" t="s">
        <v>106</v>
      </c>
      <c r="C45" s="31" t="s">
        <v>82</v>
      </c>
      <c r="D45" s="51" t="s">
        <v>257</v>
      </c>
      <c r="E45" s="1">
        <f>24+35</f>
        <v>59</v>
      </c>
      <c r="F45" s="1"/>
      <c r="G45" s="59">
        <v>10</v>
      </c>
    </row>
    <row r="46" spans="1:7" ht="30" x14ac:dyDescent="0.25">
      <c r="A46" s="219"/>
      <c r="B46" s="35" t="s">
        <v>107</v>
      </c>
      <c r="C46" s="31" t="s">
        <v>82</v>
      </c>
      <c r="D46" s="51" t="s">
        <v>257</v>
      </c>
      <c r="E46" s="1">
        <f>0+0</f>
        <v>0</v>
      </c>
      <c r="F46" s="1"/>
      <c r="G46" s="59">
        <v>12</v>
      </c>
    </row>
    <row r="47" spans="1:7" ht="45" x14ac:dyDescent="0.25">
      <c r="A47" s="219"/>
      <c r="B47" s="35" t="s">
        <v>108</v>
      </c>
      <c r="C47" s="30" t="s">
        <v>92</v>
      </c>
      <c r="D47" s="51" t="s">
        <v>257</v>
      </c>
      <c r="E47" s="43">
        <v>24</v>
      </c>
      <c r="F47" s="1"/>
      <c r="G47" s="59">
        <v>105</v>
      </c>
    </row>
    <row r="48" spans="1:7" ht="45" x14ac:dyDescent="0.25">
      <c r="A48" s="219"/>
      <c r="B48" s="35" t="s">
        <v>109</v>
      </c>
      <c r="C48" s="30" t="s">
        <v>92</v>
      </c>
      <c r="D48" s="51" t="s">
        <v>257</v>
      </c>
      <c r="E48" s="43">
        <v>15</v>
      </c>
      <c r="F48" s="1"/>
      <c r="G48" s="59">
        <v>28</v>
      </c>
    </row>
    <row r="49" spans="1:7" ht="30" x14ac:dyDescent="0.25">
      <c r="A49" s="219"/>
      <c r="B49" s="35" t="s">
        <v>110</v>
      </c>
      <c r="C49" s="30" t="s">
        <v>92</v>
      </c>
      <c r="D49" s="51" t="s">
        <v>257</v>
      </c>
      <c r="E49" s="43">
        <v>0</v>
      </c>
      <c r="F49" s="1"/>
      <c r="G49" s="59">
        <v>4</v>
      </c>
    </row>
    <row r="50" spans="1:7" ht="45" x14ac:dyDescent="0.25">
      <c r="A50" s="219"/>
      <c r="B50" s="35" t="s">
        <v>111</v>
      </c>
      <c r="C50" s="30" t="s">
        <v>92</v>
      </c>
      <c r="D50" s="51" t="s">
        <v>257</v>
      </c>
      <c r="E50" s="43">
        <v>16</v>
      </c>
      <c r="F50" s="1"/>
      <c r="G50" s="59">
        <v>30</v>
      </c>
    </row>
    <row r="51" spans="1:7" ht="30" x14ac:dyDescent="0.25">
      <c r="A51" s="219"/>
      <c r="B51" s="35" t="s">
        <v>112</v>
      </c>
      <c r="C51" s="30" t="s">
        <v>92</v>
      </c>
      <c r="D51" s="51" t="s">
        <v>257</v>
      </c>
      <c r="E51" s="43">
        <v>0</v>
      </c>
      <c r="F51" s="1"/>
      <c r="G51" s="59">
        <v>2</v>
      </c>
    </row>
    <row r="52" spans="1:7" ht="30" x14ac:dyDescent="0.25">
      <c r="A52" s="219"/>
      <c r="B52" s="35" t="s">
        <v>113</v>
      </c>
      <c r="C52" s="30" t="s">
        <v>92</v>
      </c>
      <c r="D52" s="51" t="s">
        <v>257</v>
      </c>
      <c r="E52" s="43">
        <v>25</v>
      </c>
      <c r="F52" s="1"/>
      <c r="G52" s="59">
        <v>41</v>
      </c>
    </row>
    <row r="53" spans="1:7" ht="30" x14ac:dyDescent="0.25">
      <c r="A53" s="219"/>
      <c r="B53" s="35" t="s">
        <v>114</v>
      </c>
      <c r="C53" s="30" t="s">
        <v>92</v>
      </c>
      <c r="D53" s="51" t="s">
        <v>257</v>
      </c>
      <c r="E53" s="43">
        <v>0</v>
      </c>
      <c r="F53" s="1"/>
      <c r="G53" s="59">
        <v>7</v>
      </c>
    </row>
    <row r="54" spans="1:7" ht="30" x14ac:dyDescent="0.25">
      <c r="A54" s="220"/>
      <c r="B54" s="35" t="s">
        <v>115</v>
      </c>
      <c r="C54" s="30" t="s">
        <v>92</v>
      </c>
      <c r="D54" s="51" t="s">
        <v>257</v>
      </c>
      <c r="E54" s="43">
        <v>30</v>
      </c>
      <c r="F54" s="1"/>
      <c r="G54" s="59">
        <v>8</v>
      </c>
    </row>
    <row r="55" spans="1:7" ht="24.95" customHeight="1" x14ac:dyDescent="0.25">
      <c r="A55" s="221" t="s">
        <v>5</v>
      </c>
      <c r="B55" s="36" t="s">
        <v>116</v>
      </c>
      <c r="C55" s="32" t="s">
        <v>75</v>
      </c>
      <c r="D55" s="51" t="s">
        <v>257</v>
      </c>
      <c r="E55" s="61">
        <f>59+42+38</f>
        <v>139</v>
      </c>
      <c r="F55" s="1">
        <v>3</v>
      </c>
      <c r="G55" s="62">
        <f>222-80</f>
        <v>142</v>
      </c>
    </row>
    <row r="56" spans="1:7" ht="24.95" customHeight="1" x14ac:dyDescent="0.25">
      <c r="A56" s="222"/>
      <c r="B56" s="36" t="s">
        <v>117</v>
      </c>
      <c r="C56" s="32" t="s">
        <v>75</v>
      </c>
      <c r="D56" s="51" t="s">
        <v>257</v>
      </c>
      <c r="E56" s="1">
        <f>48+60+51</f>
        <v>159</v>
      </c>
      <c r="F56" s="1">
        <v>6</v>
      </c>
      <c r="G56" s="62">
        <f>238-119</f>
        <v>119</v>
      </c>
    </row>
    <row r="57" spans="1:7" ht="30" x14ac:dyDescent="0.25">
      <c r="A57" s="222"/>
      <c r="B57" s="36" t="s">
        <v>118</v>
      </c>
      <c r="C57" s="32" t="s">
        <v>75</v>
      </c>
      <c r="D57" s="51" t="s">
        <v>257</v>
      </c>
      <c r="E57" s="1">
        <f>0+0+0</f>
        <v>0</v>
      </c>
      <c r="F57" s="1"/>
      <c r="G57" s="62">
        <f>203-67</f>
        <v>136</v>
      </c>
    </row>
    <row r="58" spans="1:7" ht="24.95" customHeight="1" x14ac:dyDescent="0.25">
      <c r="A58" s="222"/>
      <c r="B58" s="36" t="s">
        <v>119</v>
      </c>
      <c r="C58" s="32" t="s">
        <v>75</v>
      </c>
      <c r="D58" s="51" t="s">
        <v>257</v>
      </c>
      <c r="E58" s="1">
        <f>5+0+4</f>
        <v>9</v>
      </c>
      <c r="F58" s="1"/>
      <c r="G58" s="62">
        <f>19-6</f>
        <v>13</v>
      </c>
    </row>
    <row r="59" spans="1:7" ht="30" x14ac:dyDescent="0.25">
      <c r="A59" s="222"/>
      <c r="B59" s="36" t="s">
        <v>120</v>
      </c>
      <c r="C59" s="32" t="s">
        <v>75</v>
      </c>
      <c r="D59" s="51" t="s">
        <v>257</v>
      </c>
      <c r="E59" s="1">
        <f>28+18+27</f>
        <v>73</v>
      </c>
      <c r="F59" s="1">
        <v>5</v>
      </c>
      <c r="G59" s="62">
        <f>221-45</f>
        <v>176</v>
      </c>
    </row>
    <row r="60" spans="1:7" ht="24.95" customHeight="1" x14ac:dyDescent="0.25">
      <c r="A60" s="222"/>
      <c r="B60" s="36" t="s">
        <v>121</v>
      </c>
      <c r="C60" s="32" t="s">
        <v>75</v>
      </c>
      <c r="D60" s="51" t="s">
        <v>257</v>
      </c>
      <c r="E60" s="1">
        <v>0</v>
      </c>
      <c r="F60" s="1"/>
      <c r="G60" s="62">
        <f>102-23</f>
        <v>79</v>
      </c>
    </row>
    <row r="61" spans="1:7" ht="24.95" customHeight="1" x14ac:dyDescent="0.25">
      <c r="A61" s="222"/>
      <c r="B61" s="36" t="s">
        <v>122</v>
      </c>
      <c r="C61" s="32" t="s">
        <v>75</v>
      </c>
      <c r="D61" s="51" t="s">
        <v>257</v>
      </c>
      <c r="E61" s="1">
        <f>50+47+31</f>
        <v>128</v>
      </c>
      <c r="F61" s="1">
        <v>11</v>
      </c>
      <c r="G61" s="62">
        <f>8-6</f>
        <v>2</v>
      </c>
    </row>
    <row r="62" spans="1:7" ht="24.95" customHeight="1" x14ac:dyDescent="0.25">
      <c r="A62" s="222"/>
      <c r="B62" s="36" t="s">
        <v>123</v>
      </c>
      <c r="C62" s="32" t="s">
        <v>75</v>
      </c>
      <c r="D62" s="51" t="s">
        <v>257</v>
      </c>
      <c r="E62" s="1">
        <f>40+40+28</f>
        <v>108</v>
      </c>
      <c r="F62" s="1">
        <v>6</v>
      </c>
      <c r="G62" s="62">
        <f>37-5</f>
        <v>32</v>
      </c>
    </row>
    <row r="63" spans="1:7" ht="30" x14ac:dyDescent="0.25">
      <c r="A63" s="222"/>
      <c r="B63" s="36" t="s">
        <v>124</v>
      </c>
      <c r="C63" s="32" t="s">
        <v>75</v>
      </c>
      <c r="D63" s="51" t="s">
        <v>257</v>
      </c>
      <c r="E63" s="1">
        <f>24+36+34</f>
        <v>94</v>
      </c>
      <c r="F63" s="1">
        <v>11</v>
      </c>
      <c r="G63" s="62">
        <f>53-16</f>
        <v>37</v>
      </c>
    </row>
    <row r="64" spans="1:7" ht="30" x14ac:dyDescent="0.25">
      <c r="A64" s="222"/>
      <c r="B64" s="37" t="s">
        <v>125</v>
      </c>
      <c r="C64" s="32" t="s">
        <v>76</v>
      </c>
      <c r="D64" s="51" t="s">
        <v>257</v>
      </c>
      <c r="E64" s="1">
        <f>76+46</f>
        <v>122</v>
      </c>
      <c r="F64" s="1">
        <v>2</v>
      </c>
      <c r="G64" s="2">
        <v>0</v>
      </c>
    </row>
    <row r="65" spans="1:7" ht="30" x14ac:dyDescent="0.25">
      <c r="A65" s="222"/>
      <c r="B65" s="37" t="s">
        <v>126</v>
      </c>
      <c r="C65" s="32" t="s">
        <v>76</v>
      </c>
      <c r="D65" s="51" t="s">
        <v>257</v>
      </c>
      <c r="E65" s="1">
        <v>17</v>
      </c>
      <c r="F65" s="1">
        <v>2</v>
      </c>
      <c r="G65" s="2">
        <v>0</v>
      </c>
    </row>
    <row r="66" spans="1:7" ht="45" x14ac:dyDescent="0.25">
      <c r="A66" s="222"/>
      <c r="B66" s="38" t="s">
        <v>127</v>
      </c>
      <c r="C66" s="32" t="s">
        <v>82</v>
      </c>
      <c r="D66" s="51" t="s">
        <v>257</v>
      </c>
      <c r="E66" s="1">
        <f>18+16</f>
        <v>34</v>
      </c>
      <c r="F66" s="1"/>
      <c r="G66" s="59">
        <v>76</v>
      </c>
    </row>
    <row r="67" spans="1:7" ht="30" x14ac:dyDescent="0.25">
      <c r="A67" s="222"/>
      <c r="B67" s="38" t="s">
        <v>128</v>
      </c>
      <c r="C67" s="32" t="s">
        <v>82</v>
      </c>
      <c r="D67" s="51" t="s">
        <v>257</v>
      </c>
      <c r="E67" s="1">
        <f>18+21</f>
        <v>39</v>
      </c>
      <c r="F67" s="1"/>
      <c r="G67" s="59">
        <v>42</v>
      </c>
    </row>
    <row r="68" spans="1:7" ht="45" x14ac:dyDescent="0.25">
      <c r="A68" s="222"/>
      <c r="B68" s="38" t="s">
        <v>129</v>
      </c>
      <c r="C68" s="32" t="s">
        <v>82</v>
      </c>
      <c r="D68" s="51" t="s">
        <v>257</v>
      </c>
      <c r="E68" s="1">
        <f>16+6</f>
        <v>22</v>
      </c>
      <c r="F68" s="1"/>
      <c r="G68" s="59">
        <v>38</v>
      </c>
    </row>
    <row r="69" spans="1:7" ht="30" x14ac:dyDescent="0.25">
      <c r="A69" s="222"/>
      <c r="B69" s="38" t="s">
        <v>130</v>
      </c>
      <c r="C69" s="32" t="s">
        <v>82</v>
      </c>
      <c r="D69" s="51" t="s">
        <v>257</v>
      </c>
      <c r="E69" s="1">
        <f>8+11</f>
        <v>19</v>
      </c>
      <c r="F69" s="1"/>
      <c r="G69" s="59">
        <v>27</v>
      </c>
    </row>
    <row r="70" spans="1:7" ht="30" x14ac:dyDescent="0.25">
      <c r="A70" s="222"/>
      <c r="B70" s="38" t="s">
        <v>131</v>
      </c>
      <c r="C70" s="32" t="s">
        <v>82</v>
      </c>
      <c r="D70" s="51" t="s">
        <v>257</v>
      </c>
      <c r="E70" s="1">
        <v>0</v>
      </c>
      <c r="F70" s="1"/>
      <c r="G70" s="59">
        <v>54</v>
      </c>
    </row>
    <row r="71" spans="1:7" ht="30" x14ac:dyDescent="0.25">
      <c r="A71" s="222"/>
      <c r="B71" s="38" t="s">
        <v>132</v>
      </c>
      <c r="C71" s="32" t="s">
        <v>82</v>
      </c>
      <c r="D71" s="51" t="s">
        <v>257</v>
      </c>
      <c r="E71" s="1">
        <v>0</v>
      </c>
      <c r="F71" s="1"/>
      <c r="G71" s="59">
        <v>14</v>
      </c>
    </row>
    <row r="72" spans="1:7" ht="30" x14ac:dyDescent="0.25">
      <c r="A72" s="222"/>
      <c r="B72" s="38" t="s">
        <v>133</v>
      </c>
      <c r="C72" s="32" t="s">
        <v>92</v>
      </c>
      <c r="D72" s="51" t="s">
        <v>257</v>
      </c>
      <c r="E72" s="1">
        <f>4+12</f>
        <v>16</v>
      </c>
      <c r="F72" s="1"/>
      <c r="G72" s="59">
        <v>43</v>
      </c>
    </row>
    <row r="73" spans="1:7" ht="30" x14ac:dyDescent="0.25">
      <c r="A73" s="222"/>
      <c r="B73" s="38" t="s">
        <v>134</v>
      </c>
      <c r="C73" s="32" t="s">
        <v>92</v>
      </c>
      <c r="D73" s="51" t="s">
        <v>257</v>
      </c>
      <c r="E73" s="1">
        <f>12+36</f>
        <v>48</v>
      </c>
      <c r="F73" s="1"/>
      <c r="G73" s="59">
        <v>29</v>
      </c>
    </row>
    <row r="74" spans="1:7" ht="30" x14ac:dyDescent="0.25">
      <c r="A74" s="222"/>
      <c r="B74" s="38" t="s">
        <v>135</v>
      </c>
      <c r="C74" s="32" t="s">
        <v>92</v>
      </c>
      <c r="D74" s="51" t="s">
        <v>257</v>
      </c>
      <c r="E74" s="1">
        <f>57+63</f>
        <v>120</v>
      </c>
      <c r="F74" s="1"/>
      <c r="G74" s="59">
        <v>71</v>
      </c>
    </row>
    <row r="75" spans="1:7" ht="30" x14ac:dyDescent="0.25">
      <c r="A75" s="222"/>
      <c r="B75" s="38" t="s">
        <v>136</v>
      </c>
      <c r="C75" s="32" t="s">
        <v>92</v>
      </c>
      <c r="D75" s="51" t="s">
        <v>257</v>
      </c>
      <c r="E75" s="1">
        <f>45+60</f>
        <v>105</v>
      </c>
      <c r="F75" s="1"/>
      <c r="G75" s="59">
        <v>24</v>
      </c>
    </row>
    <row r="76" spans="1:7" ht="30" x14ac:dyDescent="0.25">
      <c r="A76" s="222"/>
      <c r="B76" s="38" t="s">
        <v>137</v>
      </c>
      <c r="C76" s="32" t="s">
        <v>92</v>
      </c>
      <c r="D76" s="51" t="s">
        <v>257</v>
      </c>
      <c r="E76" s="1">
        <f>24+15</f>
        <v>39</v>
      </c>
      <c r="F76" s="1"/>
      <c r="G76" s="59">
        <v>7</v>
      </c>
    </row>
    <row r="77" spans="1:7" ht="30" x14ac:dyDescent="0.25">
      <c r="A77" s="222"/>
      <c r="B77" s="38" t="s">
        <v>138</v>
      </c>
      <c r="C77" s="32" t="s">
        <v>92</v>
      </c>
      <c r="D77" s="51" t="s">
        <v>257</v>
      </c>
      <c r="E77" s="1">
        <f>8+14</f>
        <v>22</v>
      </c>
      <c r="F77" s="1"/>
      <c r="G77" s="59">
        <v>33</v>
      </c>
    </row>
    <row r="78" spans="1:7" ht="30" x14ac:dyDescent="0.25">
      <c r="A78" s="223"/>
      <c r="B78" s="38" t="s">
        <v>139</v>
      </c>
      <c r="C78" s="32" t="s">
        <v>92</v>
      </c>
      <c r="D78" s="51" t="s">
        <v>257</v>
      </c>
      <c r="E78" s="1">
        <v>9</v>
      </c>
      <c r="F78" s="1"/>
      <c r="G78" s="59">
        <v>0</v>
      </c>
    </row>
    <row r="79" spans="1:7" ht="30" x14ac:dyDescent="0.25">
      <c r="A79" s="210" t="s">
        <v>2</v>
      </c>
      <c r="B79" s="39" t="s">
        <v>140</v>
      </c>
      <c r="C79" s="33" t="s">
        <v>75</v>
      </c>
      <c r="D79" s="51" t="s">
        <v>257</v>
      </c>
      <c r="E79" s="1">
        <f>144+134+153</f>
        <v>431</v>
      </c>
      <c r="F79" s="1">
        <v>48</v>
      </c>
      <c r="G79" s="63">
        <f>105-103</f>
        <v>2</v>
      </c>
    </row>
    <row r="80" spans="1:7" ht="24.95" customHeight="1" x14ac:dyDescent="0.25">
      <c r="A80" s="211"/>
      <c r="B80" s="39" t="s">
        <v>141</v>
      </c>
      <c r="C80" s="33" t="s">
        <v>75</v>
      </c>
      <c r="D80" s="51" t="s">
        <v>257</v>
      </c>
      <c r="E80" s="1">
        <f>60+51+51</f>
        <v>162</v>
      </c>
      <c r="F80" s="1">
        <v>1</v>
      </c>
      <c r="G80" s="63">
        <f>47-35</f>
        <v>12</v>
      </c>
    </row>
    <row r="81" spans="1:11" ht="24.95" customHeight="1" x14ac:dyDescent="0.25">
      <c r="A81" s="211"/>
      <c r="B81" s="39" t="s">
        <v>142</v>
      </c>
      <c r="C81" s="33" t="s">
        <v>75</v>
      </c>
      <c r="D81" s="51" t="s">
        <v>257</v>
      </c>
      <c r="E81" s="1">
        <f>60+49+54</f>
        <v>163</v>
      </c>
      <c r="F81" s="1">
        <v>5</v>
      </c>
      <c r="G81" s="63">
        <f>33-27</f>
        <v>6</v>
      </c>
    </row>
    <row r="82" spans="1:11" ht="30" x14ac:dyDescent="0.25">
      <c r="A82" s="211"/>
      <c r="B82" s="39" t="s">
        <v>143</v>
      </c>
      <c r="C82" s="33" t="s">
        <v>75</v>
      </c>
      <c r="D82" s="51" t="s">
        <v>258</v>
      </c>
      <c r="E82" s="1">
        <f>24+23+34</f>
        <v>81</v>
      </c>
      <c r="F82" s="1">
        <v>3</v>
      </c>
      <c r="G82" s="63">
        <f>74-22</f>
        <v>52</v>
      </c>
    </row>
    <row r="83" spans="1:11" ht="30" x14ac:dyDescent="0.25">
      <c r="A83" s="211"/>
      <c r="B83" s="40" t="s">
        <v>144</v>
      </c>
      <c r="C83" s="33" t="s">
        <v>75</v>
      </c>
      <c r="D83" s="51" t="s">
        <v>257</v>
      </c>
      <c r="E83" s="1">
        <f>2+9+7</f>
        <v>18</v>
      </c>
      <c r="F83" s="1">
        <v>5</v>
      </c>
      <c r="G83" s="63">
        <v>0</v>
      </c>
    </row>
    <row r="84" spans="1:11" ht="30" x14ac:dyDescent="0.25">
      <c r="A84" s="211"/>
      <c r="B84" s="40" t="s">
        <v>145</v>
      </c>
      <c r="C84" s="33" t="s">
        <v>75</v>
      </c>
      <c r="D84" s="51" t="s">
        <v>258</v>
      </c>
      <c r="E84" s="1">
        <f>12+8+1</f>
        <v>21</v>
      </c>
      <c r="F84" s="1"/>
      <c r="G84" s="63">
        <f>11-11</f>
        <v>0</v>
      </c>
    </row>
    <row r="85" spans="1:11" ht="24.95" customHeight="1" x14ac:dyDescent="0.25">
      <c r="A85" s="211"/>
      <c r="B85" s="40" t="s">
        <v>146</v>
      </c>
      <c r="C85" s="33" t="s">
        <v>75</v>
      </c>
      <c r="D85" s="51" t="s">
        <v>257</v>
      </c>
      <c r="E85" s="1">
        <f>2+6+4</f>
        <v>12</v>
      </c>
      <c r="F85" s="1"/>
      <c r="G85" s="63">
        <f>15-5</f>
        <v>10</v>
      </c>
    </row>
    <row r="86" spans="1:11" ht="30" x14ac:dyDescent="0.25">
      <c r="A86" s="211"/>
      <c r="B86" s="39" t="s">
        <v>147</v>
      </c>
      <c r="C86" s="33" t="s">
        <v>76</v>
      </c>
      <c r="D86" s="51" t="s">
        <v>257</v>
      </c>
      <c r="E86" s="1">
        <f>26+29</f>
        <v>55</v>
      </c>
      <c r="F86" s="1"/>
      <c r="G86" s="63">
        <f>129-61</f>
        <v>68</v>
      </c>
    </row>
    <row r="87" spans="1:11" ht="30" x14ac:dyDescent="0.25">
      <c r="A87" s="211"/>
      <c r="B87" s="39" t="s">
        <v>148</v>
      </c>
      <c r="C87" s="33" t="s">
        <v>76</v>
      </c>
      <c r="D87" s="51" t="s">
        <v>257</v>
      </c>
      <c r="E87" s="1">
        <f>18+29</f>
        <v>47</v>
      </c>
      <c r="F87" s="1"/>
      <c r="G87" s="63">
        <f>113-52</f>
        <v>61</v>
      </c>
    </row>
    <row r="88" spans="1:11" ht="30" x14ac:dyDescent="0.25">
      <c r="A88" s="211"/>
      <c r="B88" s="39" t="s">
        <v>149</v>
      </c>
      <c r="C88" s="33" t="s">
        <v>76</v>
      </c>
      <c r="D88" s="51" t="s">
        <v>257</v>
      </c>
      <c r="E88" s="1">
        <f>46+44</f>
        <v>90</v>
      </c>
      <c r="F88" s="1"/>
      <c r="G88" s="63">
        <f>108-38</f>
        <v>70</v>
      </c>
    </row>
    <row r="89" spans="1:11" ht="30" x14ac:dyDescent="0.25">
      <c r="A89" s="211"/>
      <c r="B89" s="39" t="s">
        <v>150</v>
      </c>
      <c r="C89" s="33" t="s">
        <v>76</v>
      </c>
      <c r="D89" s="51" t="s">
        <v>257</v>
      </c>
      <c r="E89" s="1">
        <f>21+28</f>
        <v>49</v>
      </c>
      <c r="F89" s="1"/>
      <c r="G89" s="63">
        <f>188-102</f>
        <v>86</v>
      </c>
    </row>
    <row r="90" spans="1:11" ht="45" x14ac:dyDescent="0.25">
      <c r="A90" s="211"/>
      <c r="B90" s="39" t="s">
        <v>151</v>
      </c>
      <c r="C90" s="33" t="s">
        <v>76</v>
      </c>
      <c r="D90" s="51" t="s">
        <v>257</v>
      </c>
      <c r="E90" s="1">
        <f>47+45</f>
        <v>92</v>
      </c>
      <c r="F90" s="1">
        <v>2</v>
      </c>
      <c r="G90" s="63">
        <f>143-48</f>
        <v>95</v>
      </c>
    </row>
    <row r="91" spans="1:11" ht="30" x14ac:dyDescent="0.25">
      <c r="A91" s="211"/>
      <c r="B91" s="39" t="s">
        <v>152</v>
      </c>
      <c r="C91" s="33" t="s">
        <v>76</v>
      </c>
      <c r="D91" s="51" t="s">
        <v>257</v>
      </c>
      <c r="E91" s="1">
        <f>18+37</f>
        <v>55</v>
      </c>
      <c r="F91" s="1"/>
      <c r="G91" s="63">
        <f>139-72</f>
        <v>67</v>
      </c>
    </row>
    <row r="92" spans="1:11" ht="30" x14ac:dyDescent="0.25">
      <c r="A92" s="211"/>
      <c r="B92" s="39" t="s">
        <v>153</v>
      </c>
      <c r="C92" s="33" t="s">
        <v>76</v>
      </c>
      <c r="D92" s="51" t="s">
        <v>257</v>
      </c>
      <c r="E92" s="1">
        <f>59+53</f>
        <v>112</v>
      </c>
      <c r="F92" s="1"/>
      <c r="G92" s="63">
        <f>115-53</f>
        <v>62</v>
      </c>
    </row>
    <row r="93" spans="1:11" ht="30" x14ac:dyDescent="0.25">
      <c r="A93" s="211"/>
      <c r="B93" s="39" t="s">
        <v>154</v>
      </c>
      <c r="C93" s="33" t="s">
        <v>76</v>
      </c>
      <c r="D93" s="51" t="s">
        <v>257</v>
      </c>
      <c r="E93" s="1">
        <f>17+25</f>
        <v>42</v>
      </c>
      <c r="F93" s="1"/>
      <c r="G93" s="63">
        <f>106-84</f>
        <v>22</v>
      </c>
    </row>
    <row r="94" spans="1:11" ht="30" x14ac:dyDescent="0.25">
      <c r="A94" s="211"/>
      <c r="B94" s="39" t="s">
        <v>155</v>
      </c>
      <c r="C94" s="33" t="s">
        <v>76</v>
      </c>
      <c r="D94" s="51" t="s">
        <v>257</v>
      </c>
      <c r="E94" s="1">
        <f>17+35</f>
        <v>52</v>
      </c>
      <c r="F94" s="1"/>
      <c r="G94" s="63">
        <f>71-58</f>
        <v>13</v>
      </c>
    </row>
    <row r="95" spans="1:11" ht="30" x14ac:dyDescent="0.25">
      <c r="A95" s="211"/>
      <c r="B95" s="39" t="s">
        <v>156</v>
      </c>
      <c r="C95" s="33" t="s">
        <v>76</v>
      </c>
      <c r="D95" s="51" t="s">
        <v>257</v>
      </c>
      <c r="E95" s="1">
        <f>0+12</f>
        <v>12</v>
      </c>
      <c r="F95" s="1"/>
      <c r="G95" s="63">
        <f>7-1</f>
        <v>6</v>
      </c>
      <c r="K95" s="44"/>
    </row>
    <row r="96" spans="1:11" ht="45" x14ac:dyDescent="0.25">
      <c r="A96" s="211"/>
      <c r="B96" s="39" t="s">
        <v>157</v>
      </c>
      <c r="C96" s="33" t="s">
        <v>76</v>
      </c>
      <c r="D96" s="51" t="s">
        <v>257</v>
      </c>
      <c r="E96" s="1">
        <f>15+25</f>
        <v>40</v>
      </c>
      <c r="F96" s="1"/>
      <c r="G96" s="63">
        <v>17</v>
      </c>
    </row>
    <row r="97" spans="1:7" ht="60" x14ac:dyDescent="0.25">
      <c r="A97" s="211"/>
      <c r="B97" s="39" t="s">
        <v>158</v>
      </c>
      <c r="C97" s="33" t="s">
        <v>76</v>
      </c>
      <c r="D97" s="51" t="s">
        <v>257</v>
      </c>
      <c r="E97" s="1">
        <f>7+9</f>
        <v>16</v>
      </c>
      <c r="F97" s="1"/>
      <c r="G97" s="63">
        <v>8</v>
      </c>
    </row>
    <row r="98" spans="1:7" ht="30" x14ac:dyDescent="0.25">
      <c r="A98" s="211"/>
      <c r="B98" s="39" t="s">
        <v>159</v>
      </c>
      <c r="C98" s="33" t="s">
        <v>76</v>
      </c>
      <c r="D98" s="51" t="s">
        <v>257</v>
      </c>
      <c r="E98" s="1">
        <f>29+44</f>
        <v>73</v>
      </c>
      <c r="F98" s="1"/>
      <c r="G98" s="63">
        <f>69-47</f>
        <v>22</v>
      </c>
    </row>
    <row r="99" spans="1:7" ht="30" x14ac:dyDescent="0.25">
      <c r="A99" s="211"/>
      <c r="B99" s="39" t="s">
        <v>160</v>
      </c>
      <c r="C99" s="33" t="s">
        <v>92</v>
      </c>
      <c r="D99" s="51" t="s">
        <v>257</v>
      </c>
      <c r="E99" s="1">
        <v>42</v>
      </c>
      <c r="F99" s="1"/>
      <c r="G99" s="2">
        <v>64</v>
      </c>
    </row>
    <row r="100" spans="1:7" ht="30" x14ac:dyDescent="0.25">
      <c r="A100" s="212"/>
      <c r="B100" s="39" t="s">
        <v>161</v>
      </c>
      <c r="C100" s="33" t="s">
        <v>92</v>
      </c>
      <c r="D100" s="51" t="s">
        <v>257</v>
      </c>
      <c r="E100" s="1">
        <v>20</v>
      </c>
      <c r="F100" s="1"/>
      <c r="G100" s="2">
        <v>12</v>
      </c>
    </row>
    <row r="101" spans="1:7" ht="30" x14ac:dyDescent="0.25">
      <c r="A101" s="213" t="s">
        <v>3</v>
      </c>
      <c r="B101" s="41" t="s">
        <v>162</v>
      </c>
      <c r="C101" s="34" t="s">
        <v>75</v>
      </c>
      <c r="D101" s="51" t="s">
        <v>257</v>
      </c>
      <c r="E101" s="1">
        <f>69+74+80</f>
        <v>223</v>
      </c>
      <c r="F101" s="1">
        <v>5</v>
      </c>
      <c r="G101" s="64">
        <f>300-189</f>
        <v>111</v>
      </c>
    </row>
    <row r="102" spans="1:7" ht="30" x14ac:dyDescent="0.25">
      <c r="A102" s="214"/>
      <c r="B102" s="41" t="s">
        <v>163</v>
      </c>
      <c r="C102" s="34" t="s">
        <v>75</v>
      </c>
      <c r="D102" s="51" t="s">
        <v>257</v>
      </c>
      <c r="E102" s="1">
        <f>11+17+17</f>
        <v>45</v>
      </c>
      <c r="F102" s="1">
        <v>1</v>
      </c>
      <c r="G102" s="64">
        <f>572-278</f>
        <v>294</v>
      </c>
    </row>
    <row r="103" spans="1:7" ht="30" x14ac:dyDescent="0.25">
      <c r="A103" s="214"/>
      <c r="B103" s="41" t="s">
        <v>164</v>
      </c>
      <c r="C103" s="34" t="s">
        <v>75</v>
      </c>
      <c r="D103" s="51" t="s">
        <v>257</v>
      </c>
      <c r="E103" s="1">
        <f>90+91+92</f>
        <v>273</v>
      </c>
      <c r="F103" s="1">
        <v>18</v>
      </c>
      <c r="G103" s="64">
        <f>347-168</f>
        <v>179</v>
      </c>
    </row>
    <row r="104" spans="1:7" ht="30" x14ac:dyDescent="0.25">
      <c r="A104" s="214"/>
      <c r="B104" s="41" t="s">
        <v>165</v>
      </c>
      <c r="C104" s="34" t="s">
        <v>75</v>
      </c>
      <c r="D104" s="51" t="s">
        <v>257</v>
      </c>
      <c r="E104" s="1">
        <f>11+23+13</f>
        <v>47</v>
      </c>
      <c r="F104" s="1">
        <v>3</v>
      </c>
      <c r="G104" s="64">
        <f>216-91</f>
        <v>125</v>
      </c>
    </row>
    <row r="105" spans="1:7" ht="30" x14ac:dyDescent="0.25">
      <c r="A105" s="214"/>
      <c r="B105" s="41" t="s">
        <v>166</v>
      </c>
      <c r="C105" s="34" t="s">
        <v>75</v>
      </c>
      <c r="D105" s="51" t="s">
        <v>257</v>
      </c>
      <c r="E105" s="1">
        <f>23+16+20</f>
        <v>59</v>
      </c>
      <c r="F105" s="1"/>
      <c r="G105" s="64">
        <f>109-30</f>
        <v>79</v>
      </c>
    </row>
    <row r="106" spans="1:7" ht="24.95" customHeight="1" x14ac:dyDescent="0.25">
      <c r="A106" s="214"/>
      <c r="B106" s="41" t="s">
        <v>167</v>
      </c>
      <c r="C106" s="34" t="s">
        <v>75</v>
      </c>
      <c r="D106" s="51" t="s">
        <v>258</v>
      </c>
      <c r="E106" s="1">
        <v>0</v>
      </c>
      <c r="F106" s="1"/>
      <c r="G106" s="64">
        <f>63-11</f>
        <v>52</v>
      </c>
    </row>
    <row r="107" spans="1:7" ht="30" x14ac:dyDescent="0.25">
      <c r="A107" s="214"/>
      <c r="B107" s="42" t="s">
        <v>168</v>
      </c>
      <c r="C107" s="34" t="s">
        <v>76</v>
      </c>
      <c r="D107" s="51" t="s">
        <v>257</v>
      </c>
      <c r="E107" s="1">
        <f>25+52</f>
        <v>77</v>
      </c>
      <c r="F107" s="1"/>
      <c r="G107" s="2">
        <f>39-4</f>
        <v>35</v>
      </c>
    </row>
    <row r="108" spans="1:7" ht="30" x14ac:dyDescent="0.25">
      <c r="A108" s="214"/>
      <c r="B108" s="42" t="s">
        <v>169</v>
      </c>
      <c r="C108" s="34" t="s">
        <v>76</v>
      </c>
      <c r="D108" s="51" t="s">
        <v>257</v>
      </c>
      <c r="E108" s="1">
        <f>45+60</f>
        <v>105</v>
      </c>
      <c r="F108" s="1"/>
      <c r="G108" s="2">
        <f>39-12</f>
        <v>27</v>
      </c>
    </row>
    <row r="109" spans="1:7" ht="45" x14ac:dyDescent="0.25">
      <c r="A109" s="214"/>
      <c r="B109" s="41" t="s">
        <v>170</v>
      </c>
      <c r="C109" s="34" t="s">
        <v>82</v>
      </c>
      <c r="D109" s="51" t="s">
        <v>257</v>
      </c>
      <c r="E109" s="1">
        <f>17+16</f>
        <v>33</v>
      </c>
      <c r="F109" s="1"/>
      <c r="G109" s="2">
        <v>20</v>
      </c>
    </row>
    <row r="110" spans="1:7" ht="45" x14ac:dyDescent="0.25">
      <c r="A110" s="214"/>
      <c r="B110" s="41" t="s">
        <v>171</v>
      </c>
      <c r="C110" s="34" t="s">
        <v>82</v>
      </c>
      <c r="D110" s="51" t="s">
        <v>257</v>
      </c>
      <c r="E110" s="1">
        <f>16+32</f>
        <v>48</v>
      </c>
      <c r="F110" s="1"/>
      <c r="G110" s="2">
        <v>30</v>
      </c>
    </row>
    <row r="111" spans="1:7" ht="45" x14ac:dyDescent="0.25">
      <c r="A111" s="214"/>
      <c r="B111" s="41" t="s">
        <v>170</v>
      </c>
      <c r="C111" s="34" t="s">
        <v>92</v>
      </c>
      <c r="D111" s="51" t="s">
        <v>257</v>
      </c>
      <c r="E111" s="43">
        <v>34</v>
      </c>
      <c r="F111" s="1"/>
      <c r="G111" s="2">
        <v>14</v>
      </c>
    </row>
    <row r="112" spans="1:7" ht="60" x14ac:dyDescent="0.25">
      <c r="A112" s="214"/>
      <c r="B112" s="41" t="s">
        <v>172</v>
      </c>
      <c r="C112" s="34" t="s">
        <v>92</v>
      </c>
      <c r="D112" s="51" t="s">
        <v>257</v>
      </c>
      <c r="E112" s="43">
        <v>8</v>
      </c>
      <c r="F112" s="1"/>
      <c r="G112" s="2">
        <v>3</v>
      </c>
    </row>
    <row r="113" spans="1:7" ht="30" x14ac:dyDescent="0.25">
      <c r="A113" s="214"/>
      <c r="B113" s="52" t="s">
        <v>173</v>
      </c>
      <c r="C113" s="53" t="s">
        <v>92</v>
      </c>
      <c r="D113" s="54" t="s">
        <v>257</v>
      </c>
      <c r="E113" s="55">
        <v>15</v>
      </c>
      <c r="F113" s="56"/>
      <c r="G113" s="57">
        <v>2</v>
      </c>
    </row>
    <row r="114" spans="1:7" ht="41.25" customHeight="1" thickBot="1" x14ac:dyDescent="0.3">
      <c r="A114" s="207" t="s">
        <v>56</v>
      </c>
      <c r="B114" s="208"/>
      <c r="C114" s="208"/>
      <c r="D114" s="209"/>
      <c r="E114" s="65">
        <f>SUM(E6:E113)</f>
        <v>6519</v>
      </c>
      <c r="F114" s="65">
        <f t="shared" ref="F114:G114" si="0">SUM(F6:F113)</f>
        <v>222</v>
      </c>
      <c r="G114" s="65">
        <f t="shared" si="0"/>
        <v>5715</v>
      </c>
    </row>
  </sheetData>
  <mergeCells count="6">
    <mergeCell ref="A114:D114"/>
    <mergeCell ref="A79:A100"/>
    <mergeCell ref="A101:A113"/>
    <mergeCell ref="A6:A31"/>
    <mergeCell ref="A32:A54"/>
    <mergeCell ref="A55:A78"/>
  </mergeCells>
  <pageMargins left="0.2" right="0.2" top="0.75" bottom="0.75" header="0.3" footer="0.3"/>
  <pageSetup paperSize="9" scale="80" fitToWidth="0"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A71"/>
  <sheetViews>
    <sheetView topLeftCell="A51" workbookViewId="0">
      <selection activeCell="I65" sqref="I65"/>
    </sheetView>
  </sheetViews>
  <sheetFormatPr defaultRowHeight="15" x14ac:dyDescent="0.25"/>
  <cols>
    <col min="1" max="1" width="22.42578125" style="197" customWidth="1"/>
    <col min="2" max="25" width="11.28515625" customWidth="1"/>
    <col min="26" max="26" width="12.85546875" customWidth="1"/>
    <col min="27" max="27" width="13.28515625" customWidth="1"/>
  </cols>
  <sheetData>
    <row r="2" spans="1:27" s="76" customFormat="1" ht="15.75" x14ac:dyDescent="0.25">
      <c r="A2" s="196"/>
      <c r="B2" s="301"/>
      <c r="C2" s="301"/>
      <c r="D2" s="301"/>
      <c r="E2" s="301"/>
      <c r="F2" s="301"/>
      <c r="G2" s="301"/>
      <c r="H2" s="301"/>
      <c r="I2" s="301"/>
      <c r="J2" s="301"/>
      <c r="K2" s="301"/>
      <c r="L2" s="301"/>
      <c r="M2" s="301"/>
      <c r="N2" s="301"/>
      <c r="O2" s="301"/>
      <c r="P2" s="301"/>
      <c r="Q2" s="301"/>
      <c r="R2" s="301"/>
      <c r="S2" s="301"/>
      <c r="T2" s="301"/>
      <c r="U2" s="301"/>
      <c r="V2" s="301"/>
      <c r="W2" s="301"/>
      <c r="X2" s="301"/>
      <c r="Y2" s="301"/>
      <c r="Z2" s="301"/>
      <c r="AA2" s="301"/>
    </row>
    <row r="3" spans="1:27" ht="15.75" x14ac:dyDescent="0.25">
      <c r="A3" s="196"/>
      <c r="B3" s="301"/>
      <c r="C3" s="301"/>
      <c r="D3" s="301"/>
      <c r="E3" s="301"/>
      <c r="F3" s="301"/>
      <c r="G3" s="301"/>
      <c r="H3" s="301"/>
      <c r="I3" s="301"/>
      <c r="J3" s="301"/>
      <c r="K3" s="301"/>
      <c r="L3" s="301"/>
      <c r="M3" s="301"/>
      <c r="N3" s="301"/>
      <c r="O3" s="301"/>
      <c r="P3" s="301"/>
      <c r="Q3" s="301"/>
      <c r="R3" s="301"/>
      <c r="S3" s="301"/>
      <c r="T3" s="301"/>
      <c r="U3" s="301"/>
      <c r="V3" s="301"/>
      <c r="W3" s="301"/>
      <c r="X3" s="301"/>
      <c r="Y3" s="301"/>
      <c r="Z3" s="301"/>
      <c r="AA3" s="301"/>
    </row>
    <row r="4" spans="1:27" ht="37.5" customHeight="1" x14ac:dyDescent="0.25">
      <c r="B4" s="150" t="s">
        <v>437</v>
      </c>
      <c r="C4" s="77"/>
      <c r="D4" s="77"/>
      <c r="E4" s="77"/>
      <c r="F4" s="77"/>
      <c r="G4" s="77"/>
      <c r="H4" s="77"/>
      <c r="I4" s="77"/>
      <c r="J4" s="77"/>
      <c r="K4" s="77"/>
      <c r="L4" s="77"/>
      <c r="M4" s="77"/>
      <c r="N4" s="77"/>
      <c r="O4" s="77"/>
      <c r="P4" s="77"/>
      <c r="Q4" s="77"/>
      <c r="R4" s="77"/>
      <c r="S4" s="77"/>
      <c r="T4" s="77"/>
      <c r="U4" s="77"/>
      <c r="V4" s="77"/>
      <c r="W4" s="77"/>
      <c r="X4" s="77"/>
      <c r="Y4" s="77"/>
      <c r="Z4" s="149"/>
      <c r="AA4" s="149"/>
    </row>
    <row r="5" spans="1:27" ht="15.75" x14ac:dyDescent="0.25">
      <c r="A5" s="198" t="s">
        <v>438</v>
      </c>
      <c r="C5" s="150"/>
      <c r="D5" s="150"/>
      <c r="E5" s="150"/>
      <c r="F5" s="150"/>
      <c r="G5" s="150"/>
      <c r="H5" s="150"/>
      <c r="I5" s="150"/>
      <c r="J5" s="150"/>
      <c r="K5" s="150"/>
      <c r="L5" s="150"/>
      <c r="M5" s="150"/>
      <c r="N5" s="150"/>
      <c r="O5" s="150"/>
      <c r="P5" s="150"/>
      <c r="Q5" s="150"/>
      <c r="R5" s="150"/>
      <c r="S5" s="150"/>
      <c r="T5" s="150"/>
      <c r="U5" s="150"/>
      <c r="V5" s="150"/>
      <c r="W5" s="150"/>
      <c r="X5" s="150"/>
      <c r="Y5" s="150"/>
      <c r="Z5" s="149"/>
      <c r="AA5" s="149"/>
    </row>
    <row r="6" spans="1:27" ht="15.75" x14ac:dyDescent="0.25">
      <c r="A6" s="196"/>
      <c r="B6" s="150"/>
      <c r="C6" s="149" t="s">
        <v>376</v>
      </c>
      <c r="D6" s="150"/>
      <c r="E6" s="149" t="s">
        <v>376</v>
      </c>
      <c r="F6" s="150"/>
      <c r="G6" s="149" t="s">
        <v>376</v>
      </c>
      <c r="H6" s="150"/>
      <c r="I6" s="149" t="s">
        <v>376</v>
      </c>
      <c r="J6" s="150"/>
      <c r="K6" s="149" t="s">
        <v>376</v>
      </c>
      <c r="L6" s="150"/>
      <c r="M6" s="149" t="s">
        <v>376</v>
      </c>
      <c r="N6" s="150"/>
      <c r="O6" s="149" t="s">
        <v>376</v>
      </c>
      <c r="P6" s="150"/>
      <c r="Q6" s="149" t="s">
        <v>376</v>
      </c>
      <c r="R6" s="150"/>
      <c r="S6" s="149" t="s">
        <v>376</v>
      </c>
      <c r="T6" s="150"/>
      <c r="U6" s="149" t="s">
        <v>376</v>
      </c>
      <c r="V6" s="150"/>
      <c r="W6" s="149" t="s">
        <v>376</v>
      </c>
      <c r="X6" s="150"/>
      <c r="Y6" s="149" t="s">
        <v>376</v>
      </c>
      <c r="Z6" s="149"/>
      <c r="AA6" s="149" t="s">
        <v>376</v>
      </c>
    </row>
    <row r="7" spans="1:27" ht="26.25" customHeight="1" x14ac:dyDescent="0.25">
      <c r="A7" s="299" t="s">
        <v>377</v>
      </c>
      <c r="B7" s="266" t="s">
        <v>378</v>
      </c>
      <c r="C7" s="266"/>
      <c r="D7" s="266" t="s">
        <v>379</v>
      </c>
      <c r="E7" s="266"/>
      <c r="F7" s="266" t="s">
        <v>380</v>
      </c>
      <c r="G7" s="266"/>
      <c r="H7" s="266" t="s">
        <v>381</v>
      </c>
      <c r="I7" s="266"/>
      <c r="J7" s="266" t="s">
        <v>382</v>
      </c>
      <c r="K7" s="266"/>
      <c r="L7" s="266" t="s">
        <v>383</v>
      </c>
      <c r="M7" s="266"/>
      <c r="N7" s="266" t="s">
        <v>384</v>
      </c>
      <c r="O7" s="266"/>
      <c r="P7" s="266" t="s">
        <v>385</v>
      </c>
      <c r="Q7" s="266"/>
      <c r="R7" s="266" t="s">
        <v>386</v>
      </c>
      <c r="S7" s="266"/>
      <c r="T7" s="266" t="s">
        <v>387</v>
      </c>
      <c r="U7" s="266"/>
      <c r="V7" s="266" t="s">
        <v>388</v>
      </c>
      <c r="W7" s="266"/>
      <c r="X7" s="266" t="s">
        <v>389</v>
      </c>
      <c r="Y7" s="266"/>
      <c r="Z7" s="296" t="s">
        <v>390</v>
      </c>
      <c r="AA7" s="297"/>
    </row>
    <row r="8" spans="1:27" ht="21" customHeight="1" x14ac:dyDescent="0.25">
      <c r="A8" s="300"/>
      <c r="B8" s="147" t="s">
        <v>391</v>
      </c>
      <c r="C8" s="147" t="s">
        <v>392</v>
      </c>
      <c r="D8" s="147" t="s">
        <v>391</v>
      </c>
      <c r="E8" s="147" t="s">
        <v>392</v>
      </c>
      <c r="F8" s="147" t="s">
        <v>391</v>
      </c>
      <c r="G8" s="147" t="s">
        <v>392</v>
      </c>
      <c r="H8" s="147" t="s">
        <v>391</v>
      </c>
      <c r="I8" s="147" t="s">
        <v>392</v>
      </c>
      <c r="J8" s="147" t="s">
        <v>391</v>
      </c>
      <c r="K8" s="147" t="s">
        <v>392</v>
      </c>
      <c r="L8" s="147" t="s">
        <v>391</v>
      </c>
      <c r="M8" s="147" t="s">
        <v>392</v>
      </c>
      <c r="N8" s="147" t="s">
        <v>391</v>
      </c>
      <c r="O8" s="147" t="s">
        <v>392</v>
      </c>
      <c r="P8" s="147" t="s">
        <v>391</v>
      </c>
      <c r="Q8" s="147" t="s">
        <v>392</v>
      </c>
      <c r="R8" s="147" t="s">
        <v>391</v>
      </c>
      <c r="S8" s="147" t="s">
        <v>392</v>
      </c>
      <c r="T8" s="147" t="s">
        <v>391</v>
      </c>
      <c r="U8" s="147" t="s">
        <v>392</v>
      </c>
      <c r="V8" s="147" t="s">
        <v>391</v>
      </c>
      <c r="W8" s="147" t="s">
        <v>392</v>
      </c>
      <c r="X8" s="147" t="s">
        <v>391</v>
      </c>
      <c r="Y8" s="147" t="s">
        <v>392</v>
      </c>
      <c r="Z8" s="147" t="s">
        <v>391</v>
      </c>
      <c r="AA8" s="147" t="s">
        <v>392</v>
      </c>
    </row>
    <row r="9" spans="1:27" s="189" customFormat="1" ht="24" customHeight="1" x14ac:dyDescent="0.2">
      <c r="A9" s="199" t="s">
        <v>393</v>
      </c>
      <c r="B9" s="190">
        <f>SUM(B10:B18)</f>
        <v>0</v>
      </c>
      <c r="C9" s="190">
        <f t="shared" ref="C9:AA9" si="0">SUM(C10:C18)</f>
        <v>12867030</v>
      </c>
      <c r="D9" s="190">
        <f t="shared" si="0"/>
        <v>234693100</v>
      </c>
      <c r="E9" s="190">
        <f t="shared" si="0"/>
        <v>16921593</v>
      </c>
      <c r="F9" s="190">
        <f t="shared" si="0"/>
        <v>0</v>
      </c>
      <c r="G9" s="190">
        <f t="shared" si="0"/>
        <v>21846690</v>
      </c>
      <c r="H9" s="190">
        <f t="shared" si="0"/>
        <v>0</v>
      </c>
      <c r="I9" s="190">
        <f t="shared" si="0"/>
        <v>24648723</v>
      </c>
      <c r="J9" s="190">
        <f t="shared" si="0"/>
        <v>0</v>
      </c>
      <c r="K9" s="190">
        <f t="shared" si="0"/>
        <v>6384044</v>
      </c>
      <c r="L9" s="190">
        <f t="shared" si="0"/>
        <v>0</v>
      </c>
      <c r="M9" s="190">
        <f t="shared" si="0"/>
        <v>6844352.5999999996</v>
      </c>
      <c r="N9" s="190">
        <f t="shared" si="0"/>
        <v>0</v>
      </c>
      <c r="O9" s="190">
        <f t="shared" si="0"/>
        <v>9009743</v>
      </c>
      <c r="P9" s="190">
        <f t="shared" si="0"/>
        <v>0</v>
      </c>
      <c r="Q9" s="190">
        <f t="shared" si="0"/>
        <v>-3917828</v>
      </c>
      <c r="R9" s="190">
        <f t="shared" si="0"/>
        <v>0</v>
      </c>
      <c r="S9" s="190">
        <f t="shared" si="0"/>
        <v>5270095</v>
      </c>
      <c r="T9" s="190">
        <f t="shared" si="0"/>
        <v>0</v>
      </c>
      <c r="U9" s="190">
        <f t="shared" si="0"/>
        <v>30488750</v>
      </c>
      <c r="V9" s="190">
        <f t="shared" si="0"/>
        <v>0</v>
      </c>
      <c r="W9" s="190">
        <f t="shared" si="0"/>
        <v>42772755</v>
      </c>
      <c r="X9" s="190">
        <f t="shared" si="0"/>
        <v>0</v>
      </c>
      <c r="Y9" s="190">
        <f t="shared" si="0"/>
        <v>18265851</v>
      </c>
      <c r="Z9" s="190">
        <f t="shared" si="0"/>
        <v>234693100</v>
      </c>
      <c r="AA9" s="190">
        <f t="shared" si="0"/>
        <v>191401798.59999999</v>
      </c>
    </row>
    <row r="10" spans="1:27" x14ac:dyDescent="0.25">
      <c r="A10" s="200" t="s">
        <v>394</v>
      </c>
      <c r="B10" s="152"/>
      <c r="C10" s="152"/>
      <c r="D10" s="152">
        <v>7600000</v>
      </c>
      <c r="E10" s="152"/>
      <c r="F10" s="152"/>
      <c r="G10" s="152"/>
      <c r="H10" s="152"/>
      <c r="I10" s="152"/>
      <c r="J10" s="152"/>
      <c r="K10" s="152">
        <v>93500</v>
      </c>
      <c r="L10" s="152"/>
      <c r="M10" s="152">
        <v>0</v>
      </c>
      <c r="N10" s="152"/>
      <c r="O10" s="152">
        <v>40000</v>
      </c>
      <c r="P10" s="152"/>
      <c r="Q10" s="152">
        <v>9600</v>
      </c>
      <c r="R10" s="152"/>
      <c r="S10" s="152">
        <v>1067200</v>
      </c>
      <c r="T10" s="152"/>
      <c r="U10" s="152">
        <v>1584400</v>
      </c>
      <c r="V10" s="152"/>
      <c r="W10" s="152">
        <v>1505800</v>
      </c>
      <c r="X10" s="152"/>
      <c r="Y10" s="152">
        <v>862600</v>
      </c>
      <c r="Z10" s="152">
        <f>+X10+V10+T10++R10+P10+N10+L10+J10+H10+F10+D10+B10</f>
        <v>7600000</v>
      </c>
      <c r="AA10" s="153">
        <f>+Y10+W10+U10+S10+Q10+O10+M10+K10+I10+G10+E10+C10</f>
        <v>5163100</v>
      </c>
    </row>
    <row r="11" spans="1:27" ht="23.25" x14ac:dyDescent="0.25">
      <c r="A11" s="200" t="s">
        <v>395</v>
      </c>
      <c r="B11" s="152"/>
      <c r="C11" s="152"/>
      <c r="D11" s="152"/>
      <c r="E11" s="152"/>
      <c r="F11" s="152"/>
      <c r="G11" s="152"/>
      <c r="H11" s="152"/>
      <c r="I11" s="152"/>
      <c r="J11" s="152"/>
      <c r="K11" s="152"/>
      <c r="L11" s="152"/>
      <c r="M11" s="152"/>
      <c r="N11" s="152"/>
      <c r="O11" s="152"/>
      <c r="P11" s="152"/>
      <c r="Q11" s="152"/>
      <c r="R11" s="152"/>
      <c r="S11" s="152"/>
      <c r="T11" s="152"/>
      <c r="U11" s="152"/>
      <c r="V11" s="152"/>
      <c r="W11" s="152"/>
      <c r="X11" s="152"/>
      <c r="Y11" s="152"/>
      <c r="Z11" s="152">
        <f t="shared" ref="Z11:Z62" si="1">+X11+V11+T11++R11+P11+N11+L11+J11+H11+F11+D11+B11</f>
        <v>0</v>
      </c>
      <c r="AA11" s="153">
        <f t="shared" ref="AA11:AA62" si="2">+Y11+W11+U11+S11+Q11+O11+M11+K11+I11+G11+E11+C11</f>
        <v>0</v>
      </c>
    </row>
    <row r="12" spans="1:27" ht="23.25" x14ac:dyDescent="0.25">
      <c r="A12" s="200" t="s">
        <v>396</v>
      </c>
      <c r="B12" s="152"/>
      <c r="C12" s="152">
        <v>12499525</v>
      </c>
      <c r="D12" s="152">
        <v>216849000</v>
      </c>
      <c r="E12" s="152">
        <v>15684608</v>
      </c>
      <c r="F12" s="152"/>
      <c r="G12" s="152">
        <v>20733400</v>
      </c>
      <c r="H12" s="152"/>
      <c r="I12" s="152">
        <v>22675559</v>
      </c>
      <c r="J12" s="152"/>
      <c r="K12" s="152">
        <v>4822190</v>
      </c>
      <c r="L12" s="152"/>
      <c r="M12" s="152">
        <v>4973078</v>
      </c>
      <c r="N12" s="152"/>
      <c r="O12" s="152">
        <v>3244305</v>
      </c>
      <c r="P12" s="152"/>
      <c r="Q12" s="152">
        <v>695912</v>
      </c>
      <c r="R12" s="152"/>
      <c r="S12" s="152">
        <v>3477884</v>
      </c>
      <c r="T12" s="152"/>
      <c r="U12" s="152">
        <v>27387251</v>
      </c>
      <c r="V12" s="152"/>
      <c r="W12" s="152">
        <v>39688449</v>
      </c>
      <c r="X12" s="152"/>
      <c r="Y12" s="152">
        <v>16342457</v>
      </c>
      <c r="Z12" s="152">
        <f t="shared" si="1"/>
        <v>216849000</v>
      </c>
      <c r="AA12" s="153">
        <f t="shared" si="2"/>
        <v>172224618</v>
      </c>
    </row>
    <row r="13" spans="1:27" x14ac:dyDescent="0.25">
      <c r="A13" s="200" t="s">
        <v>397</v>
      </c>
      <c r="B13" s="152"/>
      <c r="C13" s="152">
        <v>51000</v>
      </c>
      <c r="D13" s="152">
        <v>1244100</v>
      </c>
      <c r="E13" s="152">
        <v>51000</v>
      </c>
      <c r="F13" s="152"/>
      <c r="G13" s="152">
        <v>51000</v>
      </c>
      <c r="H13" s="152"/>
      <c r="I13" s="152">
        <v>51000</v>
      </c>
      <c r="J13" s="152"/>
      <c r="K13" s="152"/>
      <c r="L13" s="152"/>
      <c r="M13" s="152">
        <v>102000</v>
      </c>
      <c r="N13" s="152"/>
      <c r="O13" s="152">
        <v>392550</v>
      </c>
      <c r="P13" s="152"/>
      <c r="Q13" s="152">
        <v>51000</v>
      </c>
      <c r="R13" s="152"/>
      <c r="S13" s="152">
        <v>51000</v>
      </c>
      <c r="T13" s="152"/>
      <c r="U13" s="152"/>
      <c r="V13" s="152"/>
      <c r="W13" s="152">
        <v>443550</v>
      </c>
      <c r="X13" s="152"/>
      <c r="Y13" s="152"/>
      <c r="Z13" s="152">
        <f t="shared" si="1"/>
        <v>1244100</v>
      </c>
      <c r="AA13" s="153">
        <f t="shared" si="2"/>
        <v>1244100</v>
      </c>
    </row>
    <row r="14" spans="1:27" ht="23.25" x14ac:dyDescent="0.25">
      <c r="A14" s="200" t="s">
        <v>398</v>
      </c>
      <c r="B14" s="152"/>
      <c r="C14" s="154"/>
      <c r="D14" s="152"/>
      <c r="E14" s="154"/>
      <c r="F14" s="152"/>
      <c r="G14" s="154"/>
      <c r="H14" s="152"/>
      <c r="I14" s="154"/>
      <c r="J14" s="152"/>
      <c r="K14" s="154"/>
      <c r="L14" s="152"/>
      <c r="M14" s="154"/>
      <c r="N14" s="152"/>
      <c r="O14" s="154"/>
      <c r="P14" s="152"/>
      <c r="Q14" s="154"/>
      <c r="R14" s="152"/>
      <c r="S14" s="154"/>
      <c r="T14" s="152"/>
      <c r="U14" s="154"/>
      <c r="V14" s="152"/>
      <c r="W14" s="154"/>
      <c r="X14" s="152"/>
      <c r="Y14" s="154"/>
      <c r="Z14" s="152">
        <f t="shared" si="1"/>
        <v>0</v>
      </c>
      <c r="AA14" s="153">
        <f t="shared" si="2"/>
        <v>0</v>
      </c>
    </row>
    <row r="15" spans="1:27" ht="23.25" x14ac:dyDescent="0.25">
      <c r="A15" s="200" t="s">
        <v>399</v>
      </c>
      <c r="B15" s="152"/>
      <c r="C15" s="152">
        <v>72000</v>
      </c>
      <c r="D15" s="152">
        <v>5000000</v>
      </c>
      <c r="E15" s="152"/>
      <c r="F15" s="152"/>
      <c r="G15" s="152">
        <v>380000</v>
      </c>
      <c r="H15" s="152"/>
      <c r="I15" s="152">
        <v>869040</v>
      </c>
      <c r="J15" s="152"/>
      <c r="K15" s="152"/>
      <c r="L15" s="152"/>
      <c r="M15" s="152">
        <v>610501.60000000009</v>
      </c>
      <c r="N15" s="152"/>
      <c r="O15" s="152">
        <v>0</v>
      </c>
      <c r="P15" s="152"/>
      <c r="Q15" s="152">
        <v>0</v>
      </c>
      <c r="R15" s="152"/>
      <c r="S15" s="152">
        <v>0</v>
      </c>
      <c r="T15" s="152"/>
      <c r="U15" s="152">
        <v>475000</v>
      </c>
      <c r="V15" s="152"/>
      <c r="W15" s="152">
        <v>422500</v>
      </c>
      <c r="X15" s="152"/>
      <c r="Y15" s="152">
        <v>550224</v>
      </c>
      <c r="Z15" s="152">
        <f t="shared" si="1"/>
        <v>5000000</v>
      </c>
      <c r="AA15" s="153">
        <f t="shared" si="2"/>
        <v>3379265.6</v>
      </c>
    </row>
    <row r="16" spans="1:27" ht="23.25" x14ac:dyDescent="0.25">
      <c r="A16" s="200" t="s">
        <v>400</v>
      </c>
      <c r="B16" s="152"/>
      <c r="C16" s="152">
        <v>244505</v>
      </c>
      <c r="D16" s="152"/>
      <c r="E16" s="152">
        <v>-244505</v>
      </c>
      <c r="F16" s="152"/>
      <c r="G16" s="152"/>
      <c r="H16" s="152"/>
      <c r="I16" s="152"/>
      <c r="J16" s="152"/>
      <c r="K16" s="152"/>
      <c r="L16" s="152"/>
      <c r="M16" s="152"/>
      <c r="N16" s="152"/>
      <c r="O16" s="152"/>
      <c r="P16" s="152"/>
      <c r="Q16" s="152"/>
      <c r="R16" s="152"/>
      <c r="S16" s="152"/>
      <c r="T16" s="152"/>
      <c r="U16" s="152"/>
      <c r="V16" s="152"/>
      <c r="W16" s="152"/>
      <c r="X16" s="152"/>
      <c r="Y16" s="152"/>
      <c r="Z16" s="152">
        <f t="shared" si="1"/>
        <v>0</v>
      </c>
      <c r="AA16" s="153">
        <f t="shared" si="2"/>
        <v>0</v>
      </c>
    </row>
    <row r="17" spans="1:27" ht="23.25" x14ac:dyDescent="0.25">
      <c r="A17" s="200" t="s">
        <v>401</v>
      </c>
      <c r="B17" s="152"/>
      <c r="C17" s="152"/>
      <c r="D17" s="152"/>
      <c r="E17" s="152"/>
      <c r="F17" s="152"/>
      <c r="G17" s="152"/>
      <c r="H17" s="152"/>
      <c r="I17" s="152"/>
      <c r="J17" s="152"/>
      <c r="K17" s="152"/>
      <c r="L17" s="152"/>
      <c r="M17" s="152"/>
      <c r="N17" s="152"/>
      <c r="O17" s="152"/>
      <c r="P17" s="152"/>
      <c r="Q17" s="152"/>
      <c r="R17" s="152"/>
      <c r="S17" s="152"/>
      <c r="T17" s="152"/>
      <c r="U17" s="152"/>
      <c r="V17" s="152"/>
      <c r="W17" s="152"/>
      <c r="X17" s="152"/>
      <c r="Y17" s="152"/>
      <c r="Z17" s="152">
        <f t="shared" si="1"/>
        <v>0</v>
      </c>
      <c r="AA17" s="153">
        <f t="shared" si="2"/>
        <v>0</v>
      </c>
    </row>
    <row r="18" spans="1:27" ht="34.5" x14ac:dyDescent="0.25">
      <c r="A18" s="200" t="s">
        <v>402</v>
      </c>
      <c r="B18" s="152"/>
      <c r="C18" s="152"/>
      <c r="D18" s="152">
        <v>4000000</v>
      </c>
      <c r="E18" s="152">
        <v>1430490</v>
      </c>
      <c r="F18" s="152"/>
      <c r="G18" s="152">
        <v>682290</v>
      </c>
      <c r="H18" s="152"/>
      <c r="I18" s="152">
        <v>1053124</v>
      </c>
      <c r="J18" s="152"/>
      <c r="K18" s="152">
        <v>1468354</v>
      </c>
      <c r="L18" s="152"/>
      <c r="M18" s="152">
        <v>1158773</v>
      </c>
      <c r="N18" s="152"/>
      <c r="O18" s="152">
        <v>5332888</v>
      </c>
      <c r="P18" s="152"/>
      <c r="Q18" s="152">
        <v>-4674340</v>
      </c>
      <c r="R18" s="152"/>
      <c r="S18" s="152">
        <v>674011</v>
      </c>
      <c r="T18" s="152"/>
      <c r="U18" s="152">
        <v>1042099</v>
      </c>
      <c r="V18" s="152"/>
      <c r="W18" s="152">
        <v>712456</v>
      </c>
      <c r="X18" s="152"/>
      <c r="Y18" s="152">
        <v>510570</v>
      </c>
      <c r="Z18" s="152">
        <f t="shared" si="1"/>
        <v>4000000</v>
      </c>
      <c r="AA18" s="153">
        <f t="shared" si="2"/>
        <v>9390715</v>
      </c>
    </row>
    <row r="19" spans="1:27" s="189" customFormat="1" ht="23.25" customHeight="1" x14ac:dyDescent="0.2">
      <c r="A19" s="199" t="s">
        <v>403</v>
      </c>
      <c r="B19" s="188">
        <f>SUM(B20:B42)</f>
        <v>84116973</v>
      </c>
      <c r="C19" s="188">
        <f t="shared" ref="C19:AA19" si="3">SUM(C20:C42)</f>
        <v>63953162</v>
      </c>
      <c r="D19" s="188">
        <f t="shared" si="3"/>
        <v>84116969</v>
      </c>
      <c r="E19" s="188">
        <f t="shared" si="3"/>
        <v>64931373</v>
      </c>
      <c r="F19" s="188">
        <f t="shared" si="3"/>
        <v>84116969</v>
      </c>
      <c r="G19" s="188">
        <f t="shared" si="3"/>
        <v>68994672</v>
      </c>
      <c r="H19" s="188">
        <f t="shared" si="3"/>
        <v>84116969</v>
      </c>
      <c r="I19" s="188">
        <f t="shared" si="3"/>
        <v>61504204</v>
      </c>
      <c r="J19" s="188">
        <f t="shared" si="3"/>
        <v>98116076</v>
      </c>
      <c r="K19" s="188">
        <f t="shared" si="3"/>
        <v>69602512</v>
      </c>
      <c r="L19" s="188">
        <f t="shared" si="3"/>
        <v>84116966</v>
      </c>
      <c r="M19" s="188">
        <f t="shared" si="3"/>
        <v>68730961</v>
      </c>
      <c r="N19" s="188">
        <f t="shared" si="3"/>
        <v>87257569</v>
      </c>
      <c r="O19" s="188">
        <f t="shared" si="3"/>
        <v>70889053</v>
      </c>
      <c r="P19" s="188">
        <f t="shared" si="3"/>
        <v>86003469</v>
      </c>
      <c r="Q19" s="188">
        <f t="shared" si="3"/>
        <v>106057105</v>
      </c>
      <c r="R19" s="188">
        <f t="shared" si="3"/>
        <v>79826683</v>
      </c>
      <c r="S19" s="188">
        <f t="shared" si="3"/>
        <v>64501050</v>
      </c>
      <c r="T19" s="188">
        <f t="shared" si="3"/>
        <v>178885278</v>
      </c>
      <c r="U19" s="188">
        <f t="shared" si="3"/>
        <v>72431518</v>
      </c>
      <c r="V19" s="188">
        <f t="shared" si="3"/>
        <v>17661000</v>
      </c>
      <c r="W19" s="188">
        <f t="shared" si="3"/>
        <v>62603780</v>
      </c>
      <c r="X19" s="188">
        <f t="shared" si="3"/>
        <v>-29143200</v>
      </c>
      <c r="Y19" s="188">
        <f t="shared" si="3"/>
        <v>86932521</v>
      </c>
      <c r="Z19" s="188">
        <f t="shared" si="3"/>
        <v>939191721</v>
      </c>
      <c r="AA19" s="188">
        <f t="shared" si="3"/>
        <v>861131911</v>
      </c>
    </row>
    <row r="20" spans="1:27" x14ac:dyDescent="0.25">
      <c r="A20" s="200" t="s">
        <v>404</v>
      </c>
      <c r="B20" s="50"/>
      <c r="C20" s="50"/>
      <c r="D20" s="50"/>
      <c r="E20" s="50"/>
      <c r="F20" s="50"/>
      <c r="G20" s="50"/>
      <c r="H20" s="50"/>
      <c r="I20" s="50"/>
      <c r="J20" s="50"/>
      <c r="K20" s="50"/>
      <c r="L20" s="50"/>
      <c r="M20" s="50"/>
      <c r="N20" s="50"/>
      <c r="O20" s="50"/>
      <c r="P20" s="50"/>
      <c r="Q20" s="50"/>
      <c r="R20" s="50"/>
      <c r="S20" s="50"/>
      <c r="T20" s="50"/>
      <c r="U20" s="50"/>
      <c r="V20" s="50"/>
      <c r="W20" s="50"/>
      <c r="X20" s="155"/>
      <c r="Y20" s="155"/>
      <c r="Z20" s="152">
        <f t="shared" si="1"/>
        <v>0</v>
      </c>
      <c r="AA20" s="153">
        <f t="shared" si="2"/>
        <v>0</v>
      </c>
    </row>
    <row r="21" spans="1:27" x14ac:dyDescent="0.25">
      <c r="A21" s="200" t="s">
        <v>405</v>
      </c>
      <c r="B21" s="50"/>
      <c r="C21" s="50"/>
      <c r="D21" s="50"/>
      <c r="E21" s="50"/>
      <c r="F21" s="50"/>
      <c r="G21" s="50"/>
      <c r="H21" s="50"/>
      <c r="I21" s="50"/>
      <c r="J21" s="50"/>
      <c r="K21" s="50"/>
      <c r="L21" s="50"/>
      <c r="M21" s="50"/>
      <c r="N21" s="50"/>
      <c r="O21" s="50"/>
      <c r="P21" s="50"/>
      <c r="Q21" s="50"/>
      <c r="R21" s="50"/>
      <c r="S21" s="50"/>
      <c r="T21" s="50"/>
      <c r="U21" s="50"/>
      <c r="V21" s="50"/>
      <c r="W21" s="50"/>
      <c r="X21" s="155"/>
      <c r="Y21" s="155"/>
      <c r="Z21" s="152">
        <f t="shared" si="1"/>
        <v>0</v>
      </c>
      <c r="AA21" s="153">
        <f t="shared" si="2"/>
        <v>0</v>
      </c>
    </row>
    <row r="22" spans="1:27" s="189" customFormat="1" ht="12" x14ac:dyDescent="0.2">
      <c r="A22" s="200" t="s">
        <v>406</v>
      </c>
      <c r="B22" s="191"/>
      <c r="C22" s="191"/>
      <c r="D22" s="191"/>
      <c r="E22" s="191"/>
      <c r="F22" s="191"/>
      <c r="G22" s="191"/>
      <c r="H22" s="191"/>
      <c r="I22" s="191"/>
      <c r="J22" s="191"/>
      <c r="K22" s="191"/>
      <c r="L22" s="191"/>
      <c r="M22" s="191"/>
      <c r="N22" s="191"/>
      <c r="O22" s="191"/>
      <c r="P22" s="191"/>
      <c r="Q22" s="191"/>
      <c r="R22" s="191"/>
      <c r="S22" s="191"/>
      <c r="T22" s="191">
        <v>15000000</v>
      </c>
      <c r="U22" s="191"/>
      <c r="V22" s="191"/>
      <c r="W22" s="191"/>
      <c r="X22" s="192">
        <v>-15000000</v>
      </c>
      <c r="Y22" s="192"/>
      <c r="Z22" s="193">
        <f t="shared" si="1"/>
        <v>0</v>
      </c>
      <c r="AA22" s="194">
        <f t="shared" si="2"/>
        <v>0</v>
      </c>
    </row>
    <row r="23" spans="1:27" s="189" customFormat="1" ht="17.25" customHeight="1" x14ac:dyDescent="0.2">
      <c r="A23" s="200" t="s">
        <v>407</v>
      </c>
      <c r="B23" s="191"/>
      <c r="C23" s="191"/>
      <c r="D23" s="191"/>
      <c r="E23" s="191"/>
      <c r="F23" s="191"/>
      <c r="G23" s="191"/>
      <c r="H23" s="191"/>
      <c r="I23" s="191"/>
      <c r="J23" s="191"/>
      <c r="K23" s="191"/>
      <c r="L23" s="191"/>
      <c r="M23" s="191"/>
      <c r="N23" s="191"/>
      <c r="O23" s="191"/>
      <c r="P23" s="191"/>
      <c r="Q23" s="191"/>
      <c r="R23" s="191"/>
      <c r="S23" s="191"/>
      <c r="T23" s="191">
        <v>15000000</v>
      </c>
      <c r="U23" s="191"/>
      <c r="V23" s="191"/>
      <c r="W23" s="191"/>
      <c r="X23" s="192">
        <v>-15000000</v>
      </c>
      <c r="Y23" s="192"/>
      <c r="Z23" s="193">
        <f t="shared" si="1"/>
        <v>0</v>
      </c>
      <c r="AA23" s="194">
        <f t="shared" si="2"/>
        <v>0</v>
      </c>
    </row>
    <row r="24" spans="1:27" ht="23.25" x14ac:dyDescent="0.25">
      <c r="A24" s="200" t="s">
        <v>408</v>
      </c>
      <c r="B24" s="50"/>
      <c r="C24" s="50"/>
      <c r="D24" s="50"/>
      <c r="E24" s="50"/>
      <c r="F24" s="50"/>
      <c r="G24" s="50"/>
      <c r="H24" s="50"/>
      <c r="I24" s="50"/>
      <c r="J24" s="50"/>
      <c r="K24" s="50"/>
      <c r="L24" s="50"/>
      <c r="M24" s="50"/>
      <c r="N24" s="50"/>
      <c r="O24" s="50"/>
      <c r="P24" s="50"/>
      <c r="Q24" s="50"/>
      <c r="R24" s="50"/>
      <c r="S24" s="50"/>
      <c r="T24" s="50"/>
      <c r="U24" s="50"/>
      <c r="V24" s="50"/>
      <c r="W24" s="50"/>
      <c r="X24" s="155"/>
      <c r="Y24" s="155"/>
      <c r="Z24" s="152">
        <f t="shared" si="1"/>
        <v>0</v>
      </c>
      <c r="AA24" s="153">
        <f t="shared" si="2"/>
        <v>0</v>
      </c>
    </row>
    <row r="25" spans="1:27" ht="25.5" customHeight="1" x14ac:dyDescent="0.25">
      <c r="A25" s="200" t="s">
        <v>409</v>
      </c>
      <c r="B25" s="50"/>
      <c r="C25" s="50"/>
      <c r="D25" s="50"/>
      <c r="E25" s="50"/>
      <c r="F25" s="50"/>
      <c r="G25" s="50"/>
      <c r="H25" s="50"/>
      <c r="I25" s="50"/>
      <c r="J25" s="50">
        <v>10000000</v>
      </c>
      <c r="K25" s="50"/>
      <c r="L25" s="50"/>
      <c r="M25" s="50"/>
      <c r="N25" s="50"/>
      <c r="O25" s="50"/>
      <c r="P25" s="50"/>
      <c r="Q25" s="50"/>
      <c r="R25" s="50"/>
      <c r="S25" s="50"/>
      <c r="T25" s="50"/>
      <c r="U25" s="50">
        <v>10000000</v>
      </c>
      <c r="V25" s="50"/>
      <c r="W25" s="50"/>
      <c r="X25" s="155"/>
      <c r="Y25" s="155"/>
      <c r="Z25" s="152">
        <f t="shared" si="1"/>
        <v>10000000</v>
      </c>
      <c r="AA25" s="153">
        <f t="shared" si="2"/>
        <v>10000000</v>
      </c>
    </row>
    <row r="26" spans="1:27" ht="20.25" customHeight="1" x14ac:dyDescent="0.25">
      <c r="A26" s="200" t="s">
        <v>410</v>
      </c>
      <c r="B26" s="50"/>
      <c r="C26" s="50"/>
      <c r="D26" s="50"/>
      <c r="E26" s="50"/>
      <c r="F26" s="50"/>
      <c r="G26" s="50"/>
      <c r="H26" s="50"/>
      <c r="I26" s="50"/>
      <c r="J26" s="50"/>
      <c r="K26" s="50"/>
      <c r="L26" s="50"/>
      <c r="M26" s="50"/>
      <c r="N26" s="50"/>
      <c r="O26" s="50"/>
      <c r="P26" s="50"/>
      <c r="Q26" s="50"/>
      <c r="R26" s="50"/>
      <c r="S26" s="50"/>
      <c r="T26" s="50"/>
      <c r="U26" s="50"/>
      <c r="V26" s="50"/>
      <c r="W26" s="50"/>
      <c r="X26" s="155"/>
      <c r="Y26" s="155"/>
      <c r="Z26" s="152">
        <f t="shared" si="1"/>
        <v>0</v>
      </c>
      <c r="AA26" s="153">
        <f t="shared" si="2"/>
        <v>0</v>
      </c>
    </row>
    <row r="27" spans="1:27" ht="23.25" x14ac:dyDescent="0.25">
      <c r="A27" s="200" t="s">
        <v>411</v>
      </c>
      <c r="B27" s="50">
        <v>58000000</v>
      </c>
      <c r="C27" s="50">
        <v>42492649</v>
      </c>
      <c r="D27" s="50">
        <v>57000000</v>
      </c>
      <c r="E27" s="50">
        <v>45476653</v>
      </c>
      <c r="F27" s="50">
        <v>56771090</v>
      </c>
      <c r="G27" s="50">
        <v>42243605</v>
      </c>
      <c r="H27" s="50">
        <v>59970000</v>
      </c>
      <c r="I27" s="50">
        <v>43468841</v>
      </c>
      <c r="J27" s="50">
        <v>50015785</v>
      </c>
      <c r="K27" s="50">
        <v>47323591</v>
      </c>
      <c r="L27" s="50">
        <v>40000000</v>
      </c>
      <c r="M27" s="50">
        <v>48080983</v>
      </c>
      <c r="N27" s="50">
        <v>59950000</v>
      </c>
      <c r="O27" s="50">
        <v>44233397</v>
      </c>
      <c r="P27" s="50">
        <v>70000000</v>
      </c>
      <c r="Q27" s="50">
        <v>82404714</v>
      </c>
      <c r="R27" s="50">
        <v>75000000</v>
      </c>
      <c r="S27" s="50">
        <v>53392726</v>
      </c>
      <c r="T27">
        <v>82989639</v>
      </c>
      <c r="U27" s="50">
        <v>50588281</v>
      </c>
      <c r="V27" s="156">
        <v>10547906</v>
      </c>
      <c r="W27" s="50">
        <v>47291310</v>
      </c>
      <c r="X27" s="156"/>
      <c r="Y27" s="155">
        <v>68683724</v>
      </c>
      <c r="Z27" s="152">
        <f t="shared" si="1"/>
        <v>620244420</v>
      </c>
      <c r="AA27" s="153">
        <f t="shared" si="2"/>
        <v>615680474</v>
      </c>
    </row>
    <row r="28" spans="1:27" ht="34.5" x14ac:dyDescent="0.25">
      <c r="A28" s="200" t="s">
        <v>412</v>
      </c>
      <c r="B28" s="1"/>
      <c r="C28" s="1"/>
      <c r="D28" s="1"/>
      <c r="E28" s="1"/>
      <c r="F28" s="157">
        <v>228910</v>
      </c>
      <c r="G28" s="1">
        <v>169074</v>
      </c>
      <c r="H28" s="157">
        <v>78835</v>
      </c>
      <c r="I28" s="1">
        <v>80836</v>
      </c>
      <c r="J28" s="157">
        <v>42010</v>
      </c>
      <c r="K28" s="1">
        <v>42010</v>
      </c>
      <c r="L28" s="157"/>
      <c r="M28" s="1">
        <v>5825</v>
      </c>
      <c r="N28" s="157">
        <v>50000</v>
      </c>
      <c r="O28" s="1"/>
      <c r="P28" s="157"/>
      <c r="Q28" s="1">
        <v>42500</v>
      </c>
      <c r="R28" s="157">
        <v>-46680</v>
      </c>
      <c r="S28" s="1">
        <v>7500</v>
      </c>
      <c r="T28" s="157">
        <v>40055</v>
      </c>
      <c r="U28" s="1">
        <v>40055</v>
      </c>
      <c r="V28" s="158">
        <v>113094</v>
      </c>
      <c r="W28" s="50">
        <v>136130</v>
      </c>
      <c r="X28" s="159"/>
      <c r="Y28" s="155">
        <v>-23040</v>
      </c>
      <c r="Z28" s="152">
        <f t="shared" si="1"/>
        <v>506224</v>
      </c>
      <c r="AA28" s="153">
        <f t="shared" si="2"/>
        <v>500890</v>
      </c>
    </row>
    <row r="29" spans="1:27" ht="34.5" x14ac:dyDescent="0.25">
      <c r="A29" s="200" t="s">
        <v>413</v>
      </c>
      <c r="B29" s="50">
        <v>10000000</v>
      </c>
      <c r="C29" s="50">
        <v>7068762</v>
      </c>
      <c r="D29" s="50">
        <v>10000000</v>
      </c>
      <c r="E29" s="50">
        <v>7388912</v>
      </c>
      <c r="F29" s="50">
        <v>10000000</v>
      </c>
      <c r="G29" s="50">
        <v>7014827</v>
      </c>
      <c r="H29" s="50">
        <v>10000000</v>
      </c>
      <c r="I29" s="50">
        <v>7066257</v>
      </c>
      <c r="J29" s="50">
        <v>13183618</v>
      </c>
      <c r="K29" s="50">
        <v>7177098</v>
      </c>
      <c r="L29" s="50">
        <v>19000000</v>
      </c>
      <c r="M29" s="50">
        <v>8063593</v>
      </c>
      <c r="N29" s="50">
        <v>17000000</v>
      </c>
      <c r="O29" s="50">
        <v>7282845</v>
      </c>
      <c r="P29" s="50">
        <v>11000000</v>
      </c>
      <c r="Q29" s="50">
        <v>9488930</v>
      </c>
      <c r="R29" s="50"/>
      <c r="S29" s="50">
        <v>6621050</v>
      </c>
      <c r="T29" s="50">
        <v>-4000000</v>
      </c>
      <c r="U29" s="50">
        <v>8587806</v>
      </c>
      <c r="V29" s="50">
        <v>7000000</v>
      </c>
      <c r="W29" s="50">
        <v>7927800</v>
      </c>
      <c r="X29" s="155"/>
      <c r="Y29" s="155">
        <v>9661573</v>
      </c>
      <c r="Z29" s="152">
        <f t="shared" si="1"/>
        <v>103183618</v>
      </c>
      <c r="AA29" s="153">
        <f t="shared" si="2"/>
        <v>93349453</v>
      </c>
    </row>
    <row r="30" spans="1:27" ht="25.5" customHeight="1" x14ac:dyDescent="0.25">
      <c r="A30" s="298" t="s">
        <v>414</v>
      </c>
      <c r="B30" s="108">
        <v>3589273</v>
      </c>
      <c r="C30" s="50">
        <v>2099601</v>
      </c>
      <c r="D30" s="108">
        <v>5089319</v>
      </c>
      <c r="E30" s="50">
        <v>3477658</v>
      </c>
      <c r="F30" s="158">
        <v>5916969</v>
      </c>
      <c r="G30" s="155">
        <v>8407916</v>
      </c>
      <c r="H30" s="158">
        <v>3000000</v>
      </c>
      <c r="I30" s="155">
        <v>2139270</v>
      </c>
      <c r="J30" s="158">
        <v>9892870</v>
      </c>
      <c r="K30" s="155">
        <v>5919495</v>
      </c>
      <c r="L30" s="158">
        <v>6683631</v>
      </c>
      <c r="M30" s="155">
        <v>2205632</v>
      </c>
      <c r="N30" s="158">
        <v>7117569</v>
      </c>
      <c r="O30" s="155">
        <v>2704570</v>
      </c>
      <c r="P30" s="87">
        <v>3116969</v>
      </c>
      <c r="Q30" s="155">
        <v>10825519</v>
      </c>
      <c r="R30" s="156"/>
      <c r="S30" s="155">
        <v>3859774</v>
      </c>
      <c r="T30" s="156">
        <v>4374089</v>
      </c>
      <c r="U30" s="155">
        <v>1699237</v>
      </c>
      <c r="V30" s="156">
        <v>1500000</v>
      </c>
      <c r="W30" s="155">
        <v>1796859</v>
      </c>
      <c r="X30" s="156"/>
      <c r="Y30" s="155">
        <v>3457885</v>
      </c>
      <c r="Z30" s="152">
        <f t="shared" si="1"/>
        <v>50280689</v>
      </c>
      <c r="AA30" s="153">
        <f t="shared" si="2"/>
        <v>48593416</v>
      </c>
    </row>
    <row r="31" spans="1:27" ht="20.25" customHeight="1" x14ac:dyDescent="0.25">
      <c r="A31" s="298"/>
      <c r="C31" s="160"/>
      <c r="E31" s="160"/>
      <c r="G31" s="160"/>
      <c r="I31" s="160"/>
      <c r="K31" s="160"/>
      <c r="M31" s="160"/>
      <c r="O31" s="160"/>
      <c r="P31" s="1"/>
      <c r="Q31" s="160"/>
      <c r="R31" s="1"/>
      <c r="S31" s="161"/>
      <c r="T31" s="1"/>
      <c r="U31" s="161"/>
      <c r="V31" s="1"/>
      <c r="W31" s="161"/>
      <c r="X31" s="1"/>
      <c r="Y31" s="161"/>
      <c r="Z31" s="152">
        <f t="shared" si="1"/>
        <v>0</v>
      </c>
      <c r="AA31" s="153">
        <f t="shared" si="2"/>
        <v>0</v>
      </c>
    </row>
    <row r="32" spans="1:27" ht="57" x14ac:dyDescent="0.25">
      <c r="A32" s="200" t="s">
        <v>415</v>
      </c>
      <c r="B32" s="50"/>
      <c r="C32" s="50"/>
      <c r="D32" s="50"/>
      <c r="E32" s="50"/>
      <c r="F32" s="50"/>
      <c r="G32" s="50"/>
      <c r="H32" s="50"/>
      <c r="I32" s="50"/>
      <c r="J32" s="50"/>
      <c r="K32" s="50"/>
      <c r="L32" s="50"/>
      <c r="M32" s="50">
        <v>744000</v>
      </c>
      <c r="N32" s="50"/>
      <c r="O32" s="50"/>
      <c r="Q32" s="160"/>
      <c r="S32" s="161"/>
      <c r="U32" s="161"/>
      <c r="W32" s="161"/>
      <c r="Y32" s="161">
        <v>42480</v>
      </c>
      <c r="Z32" s="152">
        <f t="shared" si="1"/>
        <v>0</v>
      </c>
      <c r="AA32" s="153">
        <f t="shared" si="2"/>
        <v>786480</v>
      </c>
    </row>
    <row r="33" spans="1:27" ht="34.5" x14ac:dyDescent="0.25">
      <c r="A33" s="200" t="s">
        <v>416</v>
      </c>
      <c r="B33" s="50"/>
      <c r="C33" s="50"/>
      <c r="D33" s="50"/>
      <c r="E33" s="50"/>
      <c r="F33" s="50"/>
      <c r="G33" s="50"/>
      <c r="H33" s="50"/>
      <c r="I33" s="50"/>
      <c r="J33" s="50"/>
      <c r="K33" s="50"/>
      <c r="L33" s="50"/>
      <c r="M33" s="50"/>
      <c r="N33" s="50"/>
      <c r="O33" s="50"/>
      <c r="P33" s="50"/>
      <c r="Q33" s="50"/>
      <c r="R33" s="155"/>
      <c r="S33" s="155"/>
      <c r="T33" s="155"/>
      <c r="U33" s="155"/>
      <c r="V33" s="155"/>
      <c r="W33" s="155"/>
      <c r="X33" s="155"/>
      <c r="Y33" s="155"/>
      <c r="Z33" s="152">
        <f t="shared" si="1"/>
        <v>0</v>
      </c>
      <c r="AA33" s="153">
        <f t="shared" si="2"/>
        <v>0</v>
      </c>
    </row>
    <row r="34" spans="1:27" ht="45.75" x14ac:dyDescent="0.25">
      <c r="A34" s="200" t="s">
        <v>417</v>
      </c>
      <c r="B34" s="50"/>
      <c r="C34" s="50"/>
      <c r="D34" s="50"/>
      <c r="E34" s="50"/>
      <c r="F34" s="50"/>
      <c r="G34" s="50"/>
      <c r="H34" s="50"/>
      <c r="I34" s="50"/>
      <c r="J34" s="50"/>
      <c r="K34" s="50"/>
      <c r="L34" s="50"/>
      <c r="M34" s="50"/>
      <c r="N34" s="50"/>
      <c r="O34" s="50"/>
      <c r="P34" s="50"/>
      <c r="Q34" s="50"/>
      <c r="R34" s="155"/>
      <c r="S34" s="155"/>
      <c r="T34" s="155"/>
      <c r="U34" s="155"/>
      <c r="V34" s="155"/>
      <c r="W34" s="155"/>
      <c r="X34" s="155"/>
      <c r="Y34" s="155"/>
      <c r="Z34" s="152">
        <f t="shared" si="1"/>
        <v>0</v>
      </c>
      <c r="AA34" s="153">
        <f t="shared" si="2"/>
        <v>0</v>
      </c>
    </row>
    <row r="35" spans="1:27" ht="45.75" x14ac:dyDescent="0.25">
      <c r="A35" s="201" t="s">
        <v>418</v>
      </c>
      <c r="B35" s="50">
        <v>1000000</v>
      </c>
      <c r="C35" s="50">
        <v>764500</v>
      </c>
      <c r="D35" s="50">
        <v>500000</v>
      </c>
      <c r="E35" s="50">
        <v>715500</v>
      </c>
      <c r="F35" s="50">
        <v>1200000</v>
      </c>
      <c r="G35" s="50">
        <v>1117250</v>
      </c>
      <c r="H35" s="50"/>
      <c r="I35" s="50">
        <v>759000</v>
      </c>
      <c r="J35" s="50">
        <v>2000000</v>
      </c>
      <c r="K35" s="50">
        <v>695500</v>
      </c>
      <c r="L35" s="50">
        <v>2000000</v>
      </c>
      <c r="M35" s="50">
        <v>1810928</v>
      </c>
      <c r="N35" s="50"/>
      <c r="O35" s="50">
        <v>680000</v>
      </c>
      <c r="P35" s="50"/>
      <c r="Q35" s="50"/>
      <c r="R35" s="155"/>
      <c r="S35" s="155">
        <v>630000</v>
      </c>
      <c r="T35" s="155">
        <v>1963495</v>
      </c>
      <c r="U35" s="155">
        <v>680000</v>
      </c>
      <c r="V35" s="155">
        <v>-1500000</v>
      </c>
      <c r="W35" s="155">
        <v>935000</v>
      </c>
      <c r="X35" s="155"/>
      <c r="Y35" s="155"/>
      <c r="Z35" s="152">
        <f t="shared" si="1"/>
        <v>7163495</v>
      </c>
      <c r="AA35" s="153">
        <f t="shared" si="2"/>
        <v>8787678</v>
      </c>
    </row>
    <row r="36" spans="1:27" ht="23.25" x14ac:dyDescent="0.25">
      <c r="A36" s="200" t="s">
        <v>419</v>
      </c>
      <c r="B36" s="50"/>
      <c r="C36" s="50"/>
      <c r="D36" s="50"/>
      <c r="F36" s="50"/>
      <c r="H36" s="50"/>
      <c r="J36" s="50">
        <v>2177280</v>
      </c>
      <c r="K36">
        <v>436118</v>
      </c>
      <c r="L36" s="50"/>
      <c r="M36">
        <v>0</v>
      </c>
      <c r="N36" s="50"/>
      <c r="P36" s="50">
        <v>1886500</v>
      </c>
      <c r="Q36" s="87">
        <v>477683</v>
      </c>
      <c r="R36" s="155"/>
      <c r="S36" s="156"/>
      <c r="T36" s="155"/>
      <c r="U36" s="156">
        <v>399489</v>
      </c>
      <c r="V36" s="155"/>
      <c r="W36" s="156">
        <v>40270</v>
      </c>
      <c r="X36" s="155">
        <v>856800</v>
      </c>
      <c r="Y36" s="156">
        <v>109809</v>
      </c>
      <c r="Z36" s="152">
        <f t="shared" si="1"/>
        <v>4920580</v>
      </c>
      <c r="AA36" s="153">
        <f t="shared" si="2"/>
        <v>1463369</v>
      </c>
    </row>
    <row r="37" spans="1:27" ht="24" customHeight="1" x14ac:dyDescent="0.25">
      <c r="A37" s="200" t="s">
        <v>420</v>
      </c>
      <c r="B37" s="87">
        <v>11520000</v>
      </c>
      <c r="C37" s="50">
        <v>11520000</v>
      </c>
      <c r="D37" s="87">
        <v>11520000</v>
      </c>
      <c r="E37" s="50">
        <v>7865000</v>
      </c>
      <c r="F37" s="87">
        <v>10000000</v>
      </c>
      <c r="G37" s="50">
        <v>10042000</v>
      </c>
      <c r="H37" s="87">
        <v>11068134</v>
      </c>
      <c r="I37" s="50">
        <v>7990000</v>
      </c>
      <c r="J37" s="87">
        <v>10803313</v>
      </c>
      <c r="K37" s="50">
        <v>8007500</v>
      </c>
      <c r="L37" s="87">
        <v>16433335</v>
      </c>
      <c r="M37" s="50">
        <v>7820000</v>
      </c>
      <c r="N37" s="87"/>
      <c r="O37" s="50">
        <v>15650000</v>
      </c>
      <c r="Q37" s="50"/>
      <c r="R37">
        <v>4795773</v>
      </c>
      <c r="S37" s="50">
        <v>-10000</v>
      </c>
      <c r="U37" s="50">
        <v>90000</v>
      </c>
      <c r="W37" s="50"/>
      <c r="Y37" s="155">
        <v>40000</v>
      </c>
      <c r="Z37" s="152">
        <f t="shared" si="1"/>
        <v>76140555</v>
      </c>
      <c r="AA37" s="153">
        <f t="shared" si="2"/>
        <v>69014500</v>
      </c>
    </row>
    <row r="38" spans="1:27" ht="23.25" x14ac:dyDescent="0.25">
      <c r="A38" s="200" t="s">
        <v>421</v>
      </c>
      <c r="B38" s="50"/>
      <c r="C38" s="50"/>
      <c r="D38" s="50"/>
      <c r="E38" s="50"/>
      <c r="F38" s="50"/>
      <c r="G38" s="50"/>
      <c r="H38" s="50"/>
      <c r="I38" s="50"/>
      <c r="J38" s="50"/>
      <c r="K38" s="50"/>
      <c r="L38" s="50"/>
      <c r="M38" s="50"/>
      <c r="N38" s="50"/>
      <c r="O38" s="50"/>
      <c r="P38" s="50"/>
      <c r="Q38" s="50"/>
      <c r="R38" s="50"/>
      <c r="S38" s="50"/>
      <c r="T38" s="50"/>
      <c r="U38" s="50"/>
      <c r="V38" s="50"/>
      <c r="W38" s="50"/>
      <c r="X38" s="155"/>
      <c r="Y38" s="155"/>
      <c r="Z38" s="152">
        <f t="shared" si="1"/>
        <v>0</v>
      </c>
      <c r="AA38" s="153">
        <f t="shared" si="2"/>
        <v>0</v>
      </c>
    </row>
    <row r="39" spans="1:27" ht="23.25" x14ac:dyDescent="0.25">
      <c r="A39" s="200" t="s">
        <v>422</v>
      </c>
      <c r="B39" s="50"/>
      <c r="C39" s="50"/>
      <c r="D39" s="50"/>
      <c r="E39" s="50"/>
      <c r="F39" s="50"/>
      <c r="G39" s="50"/>
      <c r="H39" s="50"/>
      <c r="I39" s="50"/>
      <c r="J39" s="50"/>
      <c r="K39" s="50"/>
      <c r="L39" s="50"/>
      <c r="M39" s="50"/>
      <c r="N39" s="50"/>
      <c r="O39" s="50"/>
      <c r="P39" s="50"/>
      <c r="Q39" s="50"/>
      <c r="R39" s="50"/>
      <c r="S39" s="50"/>
      <c r="T39" s="50"/>
      <c r="U39" s="50"/>
      <c r="V39" s="50"/>
      <c r="W39" s="50"/>
      <c r="X39" s="155"/>
      <c r="Y39" s="155"/>
      <c r="Z39" s="152">
        <f t="shared" si="1"/>
        <v>0</v>
      </c>
      <c r="AA39" s="153">
        <f t="shared" si="2"/>
        <v>0</v>
      </c>
    </row>
    <row r="40" spans="1:27" ht="34.5" x14ac:dyDescent="0.25">
      <c r="A40" s="200" t="s">
        <v>423</v>
      </c>
      <c r="B40" s="50">
        <v>7700</v>
      </c>
      <c r="C40" s="50">
        <v>7650</v>
      </c>
      <c r="D40" s="50">
        <v>7650</v>
      </c>
      <c r="E40" s="50">
        <v>7650</v>
      </c>
      <c r="F40" s="50"/>
      <c r="G40" s="50"/>
      <c r="H40" s="50"/>
      <c r="I40" s="50"/>
      <c r="J40" s="50">
        <v>1200</v>
      </c>
      <c r="K40" s="50">
        <v>1200</v>
      </c>
      <c r="L40" s="50"/>
      <c r="M40" s="50"/>
      <c r="N40" s="50"/>
      <c r="O40" s="50"/>
      <c r="P40" s="50"/>
      <c r="Q40" s="50"/>
      <c r="R40" s="50"/>
      <c r="S40" s="50"/>
      <c r="T40" s="50"/>
      <c r="V40" s="50">
        <v>4000000</v>
      </c>
      <c r="W40" s="87">
        <v>3821911</v>
      </c>
      <c r="X40" s="155"/>
      <c r="Y40" s="156"/>
      <c r="Z40" s="152">
        <f t="shared" si="1"/>
        <v>4016550</v>
      </c>
      <c r="AA40" s="153">
        <f t="shared" si="2"/>
        <v>3838411</v>
      </c>
    </row>
    <row r="41" spans="1:27" x14ac:dyDescent="0.25">
      <c r="A41" s="200" t="s">
        <v>424</v>
      </c>
      <c r="B41" s="50"/>
      <c r="C41" s="50"/>
      <c r="D41" s="50"/>
      <c r="E41" s="50"/>
      <c r="F41" s="50"/>
      <c r="G41" s="50"/>
      <c r="H41" s="50"/>
      <c r="I41" s="50"/>
      <c r="J41" s="50"/>
      <c r="K41" s="50"/>
      <c r="L41" s="50"/>
      <c r="M41" s="50"/>
      <c r="N41" s="50">
        <v>3140000</v>
      </c>
      <c r="O41" s="50">
        <v>338241</v>
      </c>
      <c r="P41" s="50"/>
      <c r="Q41" s="50">
        <v>2817759</v>
      </c>
      <c r="R41" s="50">
        <v>77590</v>
      </c>
      <c r="S41" s="50"/>
      <c r="T41" s="50"/>
      <c r="U41" s="50"/>
      <c r="V41" s="50"/>
      <c r="W41" s="50"/>
      <c r="X41" s="155"/>
      <c r="Y41" s="155">
        <v>48090</v>
      </c>
      <c r="Z41" s="152">
        <f t="shared" si="1"/>
        <v>3217590</v>
      </c>
      <c r="AA41" s="153">
        <f t="shared" si="2"/>
        <v>3204090</v>
      </c>
    </row>
    <row r="42" spans="1:27" ht="23.25" x14ac:dyDescent="0.25">
      <c r="A42" s="200" t="s">
        <v>425</v>
      </c>
      <c r="B42" s="50"/>
      <c r="C42" s="50"/>
      <c r="D42" s="50"/>
      <c r="E42" s="50"/>
      <c r="F42" s="50"/>
      <c r="G42" s="50"/>
      <c r="H42" s="50"/>
      <c r="I42" s="50"/>
      <c r="J42" s="50"/>
      <c r="K42" s="50"/>
      <c r="L42" s="50"/>
      <c r="M42" s="50"/>
      <c r="N42" s="50"/>
      <c r="O42" s="50"/>
      <c r="P42" s="50"/>
      <c r="Q42" s="50"/>
      <c r="R42" s="50"/>
      <c r="S42" s="50"/>
      <c r="T42" s="50">
        <v>63518000</v>
      </c>
      <c r="U42" s="50">
        <v>346650</v>
      </c>
      <c r="V42" s="50">
        <v>-4000000</v>
      </c>
      <c r="W42" s="50">
        <v>654500</v>
      </c>
      <c r="X42" s="155"/>
      <c r="Y42" s="155">
        <v>4912000</v>
      </c>
      <c r="Z42" s="152">
        <f t="shared" si="1"/>
        <v>59518000</v>
      </c>
      <c r="AA42" s="153">
        <f t="shared" si="2"/>
        <v>5913150</v>
      </c>
    </row>
    <row r="43" spans="1:27" s="189" customFormat="1" ht="22.5" customHeight="1" x14ac:dyDescent="0.2">
      <c r="A43" s="199" t="s">
        <v>426</v>
      </c>
      <c r="B43" s="188">
        <f>SUM(B44:B62)</f>
        <v>0</v>
      </c>
      <c r="C43" s="188">
        <f t="shared" ref="C43:AA43" si="4">SUM(C44:C62)</f>
        <v>0</v>
      </c>
      <c r="D43" s="188">
        <f t="shared" si="4"/>
        <v>149789838</v>
      </c>
      <c r="E43" s="188">
        <f t="shared" si="4"/>
        <v>4825087</v>
      </c>
      <c r="F43" s="188">
        <f t="shared" si="4"/>
        <v>0</v>
      </c>
      <c r="G43" s="188">
        <f t="shared" si="4"/>
        <v>965708</v>
      </c>
      <c r="H43" s="188">
        <f t="shared" si="4"/>
        <v>0</v>
      </c>
      <c r="I43" s="188">
        <f t="shared" si="4"/>
        <v>9661117</v>
      </c>
      <c r="J43" s="188">
        <f t="shared" si="4"/>
        <v>0</v>
      </c>
      <c r="K43" s="188">
        <f t="shared" si="4"/>
        <v>2607894</v>
      </c>
      <c r="L43" s="188">
        <f t="shared" si="4"/>
        <v>0</v>
      </c>
      <c r="M43" s="188">
        <f t="shared" si="4"/>
        <v>11239911</v>
      </c>
      <c r="N43" s="188">
        <f t="shared" si="4"/>
        <v>0</v>
      </c>
      <c r="O43" s="188">
        <f t="shared" si="4"/>
        <v>1034552</v>
      </c>
      <c r="P43" s="188">
        <f t="shared" si="4"/>
        <v>0</v>
      </c>
      <c r="Q43" s="188">
        <f t="shared" si="4"/>
        <v>13525889</v>
      </c>
      <c r="R43" s="188">
        <f t="shared" si="4"/>
        <v>0</v>
      </c>
      <c r="S43" s="188">
        <f t="shared" si="4"/>
        <v>5034370</v>
      </c>
      <c r="T43" s="188">
        <f t="shared" si="4"/>
        <v>0</v>
      </c>
      <c r="U43" s="188">
        <f t="shared" si="4"/>
        <v>45141902</v>
      </c>
      <c r="V43" s="188">
        <f t="shared" si="4"/>
        <v>0</v>
      </c>
      <c r="W43" s="188">
        <f t="shared" si="4"/>
        <v>18683140</v>
      </c>
      <c r="X43" s="188">
        <f t="shared" si="4"/>
        <v>186477388</v>
      </c>
      <c r="Y43" s="188">
        <f t="shared" si="4"/>
        <v>78588598</v>
      </c>
      <c r="Z43" s="188">
        <f t="shared" si="4"/>
        <v>336267226</v>
      </c>
      <c r="AA43" s="188">
        <f t="shared" si="4"/>
        <v>191308168</v>
      </c>
    </row>
    <row r="44" spans="1:27" s="189" customFormat="1" ht="22.5" x14ac:dyDescent="0.2">
      <c r="A44" s="200" t="s">
        <v>427</v>
      </c>
      <c r="B44" s="195"/>
      <c r="C44" s="191"/>
      <c r="D44" s="195">
        <v>119457391</v>
      </c>
      <c r="E44" s="191"/>
      <c r="F44" s="195"/>
      <c r="G44" s="191">
        <v>71230</v>
      </c>
      <c r="H44" s="195"/>
      <c r="I44" s="191">
        <v>3390953</v>
      </c>
      <c r="J44" s="195"/>
      <c r="K44" s="191"/>
      <c r="L44" s="195"/>
      <c r="M44" s="191">
        <v>9658692</v>
      </c>
      <c r="N44" s="195"/>
      <c r="O44" s="191"/>
      <c r="P44" s="191">
        <v>-10000000</v>
      </c>
      <c r="Q44" s="191"/>
      <c r="R44" s="191"/>
      <c r="T44" s="191">
        <v>-11800000</v>
      </c>
      <c r="U44" s="189">
        <v>32991466</v>
      </c>
      <c r="V44" s="191">
        <v>-15780000</v>
      </c>
      <c r="X44" s="191">
        <v>67925070</v>
      </c>
      <c r="Y44" s="189">
        <v>25095907</v>
      </c>
      <c r="Z44" s="193">
        <f t="shared" si="1"/>
        <v>149802461</v>
      </c>
      <c r="AA44" s="194">
        <f t="shared" si="2"/>
        <v>71208248</v>
      </c>
    </row>
    <row r="45" spans="1:27" x14ac:dyDescent="0.25">
      <c r="A45" s="200" t="s">
        <v>428</v>
      </c>
      <c r="B45" s="50"/>
      <c r="C45" s="50"/>
      <c r="D45" s="50"/>
      <c r="E45" s="50"/>
      <c r="F45" s="50"/>
      <c r="G45" s="50"/>
      <c r="H45" s="50"/>
      <c r="I45" s="50"/>
      <c r="J45" s="50"/>
      <c r="K45" s="50"/>
      <c r="L45" s="50"/>
      <c r="M45" s="50"/>
      <c r="N45" s="50"/>
      <c r="O45" s="50"/>
      <c r="P45" s="50"/>
      <c r="Q45" s="50"/>
      <c r="R45" s="50"/>
      <c r="S45" s="50">
        <v>43919</v>
      </c>
      <c r="T45" s="50"/>
      <c r="U45" s="155"/>
      <c r="V45" s="50"/>
      <c r="W45" s="155"/>
      <c r="X45" s="50">
        <v>43919</v>
      </c>
      <c r="Y45" s="155"/>
      <c r="Z45" s="152">
        <f t="shared" si="1"/>
        <v>43919</v>
      </c>
      <c r="AA45" s="153">
        <f t="shared" si="2"/>
        <v>43919</v>
      </c>
    </row>
    <row r="46" spans="1:27" x14ac:dyDescent="0.25">
      <c r="A46" s="200" t="s">
        <v>406</v>
      </c>
      <c r="B46" s="50"/>
      <c r="C46" s="50"/>
      <c r="D46" s="50"/>
      <c r="E46" s="50"/>
      <c r="F46" s="50"/>
      <c r="G46" s="50"/>
      <c r="H46" s="50"/>
      <c r="I46" s="50"/>
      <c r="J46" s="50"/>
      <c r="K46" s="50"/>
      <c r="L46" s="50"/>
      <c r="M46" s="50"/>
      <c r="N46" s="50"/>
      <c r="O46" s="50"/>
      <c r="P46" s="50"/>
      <c r="Q46" s="50"/>
      <c r="R46" s="50"/>
      <c r="S46" s="50"/>
      <c r="T46" s="50"/>
      <c r="U46" s="155"/>
      <c r="V46" s="50"/>
      <c r="W46" s="155"/>
      <c r="X46" s="50"/>
      <c r="Y46" s="155"/>
      <c r="Z46" s="152">
        <f t="shared" si="1"/>
        <v>0</v>
      </c>
      <c r="AA46" s="153">
        <f t="shared" si="2"/>
        <v>0</v>
      </c>
    </row>
    <row r="47" spans="1:27" ht="23.25" x14ac:dyDescent="0.25">
      <c r="A47" s="200" t="s">
        <v>407</v>
      </c>
      <c r="B47" s="50"/>
      <c r="C47" s="50"/>
      <c r="D47" s="50"/>
      <c r="E47" s="50"/>
      <c r="F47" s="50"/>
      <c r="G47" s="50"/>
      <c r="H47" s="50"/>
      <c r="I47" s="50"/>
      <c r="J47" s="50"/>
      <c r="K47" s="50"/>
      <c r="L47" s="50"/>
      <c r="M47" s="50"/>
      <c r="N47" s="50"/>
      <c r="O47" s="50"/>
      <c r="P47" s="50">
        <v>10000000</v>
      </c>
      <c r="Q47" s="50">
        <v>9456000</v>
      </c>
      <c r="R47" s="50"/>
      <c r="S47" s="50"/>
      <c r="T47" s="50">
        <v>8800000</v>
      </c>
      <c r="U47" s="155">
        <v>8764040</v>
      </c>
      <c r="V47" s="50">
        <v>12000000</v>
      </c>
      <c r="W47" s="155">
        <v>12000000</v>
      </c>
      <c r="X47" s="50"/>
      <c r="Y47" s="155"/>
      <c r="Z47" s="152">
        <f t="shared" si="1"/>
        <v>30800000</v>
      </c>
      <c r="AA47" s="153">
        <f t="shared" si="2"/>
        <v>30220040</v>
      </c>
    </row>
    <row r="48" spans="1:27" ht="23.25" x14ac:dyDescent="0.25">
      <c r="A48" s="200" t="s">
        <v>408</v>
      </c>
      <c r="B48" s="50"/>
      <c r="C48" s="50"/>
      <c r="D48" s="50"/>
      <c r="E48" s="50"/>
      <c r="F48" s="50"/>
      <c r="G48" s="50"/>
      <c r="H48" s="50"/>
      <c r="I48" s="50"/>
      <c r="J48" s="50"/>
      <c r="K48" s="50"/>
      <c r="L48" s="50"/>
      <c r="M48" s="50"/>
      <c r="N48" s="50"/>
      <c r="O48" s="50"/>
      <c r="P48" s="50"/>
      <c r="Q48" s="50"/>
      <c r="R48" s="50"/>
      <c r="S48" s="50"/>
      <c r="T48" s="50"/>
      <c r="U48" s="155"/>
      <c r="V48" s="50"/>
      <c r="W48" s="155"/>
      <c r="X48" s="50">
        <v>25088400</v>
      </c>
      <c r="Y48" s="162">
        <v>25088400</v>
      </c>
      <c r="Z48" s="152">
        <f t="shared" si="1"/>
        <v>25088400</v>
      </c>
      <c r="AA48" s="153">
        <f t="shared" si="2"/>
        <v>25088400</v>
      </c>
    </row>
    <row r="49" spans="1:27" x14ac:dyDescent="0.25">
      <c r="A49" s="200" t="s">
        <v>429</v>
      </c>
      <c r="B49" s="50"/>
      <c r="C49" s="50"/>
      <c r="D49" s="50"/>
      <c r="E49" s="50"/>
      <c r="F49" s="50"/>
      <c r="G49" s="50"/>
      <c r="H49" s="50"/>
      <c r="I49" s="50"/>
      <c r="J49" s="50"/>
      <c r="K49" s="50"/>
      <c r="L49" s="50"/>
      <c r="M49" s="50"/>
      <c r="N49" s="50"/>
      <c r="O49" s="50"/>
      <c r="P49" s="50"/>
      <c r="Q49" s="50"/>
      <c r="R49" s="50"/>
      <c r="S49" s="50">
        <v>2736180</v>
      </c>
      <c r="T49" s="50">
        <v>3000000</v>
      </c>
      <c r="U49" s="155"/>
      <c r="V49" s="50"/>
      <c r="W49" s="155"/>
      <c r="X49" s="50">
        <v>4200000</v>
      </c>
      <c r="Y49" s="155">
        <v>4200000</v>
      </c>
      <c r="Z49" s="152">
        <f t="shared" si="1"/>
        <v>7200000</v>
      </c>
      <c r="AA49" s="153">
        <f t="shared" si="2"/>
        <v>6936180</v>
      </c>
    </row>
    <row r="50" spans="1:27" ht="23.25" x14ac:dyDescent="0.25">
      <c r="A50" s="200" t="s">
        <v>430</v>
      </c>
      <c r="B50" s="50"/>
      <c r="C50" s="50"/>
      <c r="D50" s="50">
        <v>2190001</v>
      </c>
      <c r="E50" s="50">
        <v>31415</v>
      </c>
      <c r="F50" s="50"/>
      <c r="G50" s="50">
        <v>677488</v>
      </c>
      <c r="H50" s="50"/>
      <c r="I50" s="50">
        <v>208552</v>
      </c>
      <c r="J50" s="50"/>
      <c r="K50" s="50">
        <v>253440</v>
      </c>
      <c r="L50" s="50"/>
      <c r="M50" s="50">
        <v>285120</v>
      </c>
      <c r="N50" s="50"/>
      <c r="O50" s="50">
        <v>335967</v>
      </c>
      <c r="P50" s="50">
        <v>1000000</v>
      </c>
      <c r="Q50" s="50">
        <v>1283246</v>
      </c>
      <c r="R50" s="50"/>
      <c r="S50" s="50">
        <v>418856</v>
      </c>
      <c r="T50" s="50"/>
      <c r="U50" s="155">
        <v>779056</v>
      </c>
      <c r="V50" s="50">
        <v>1200000</v>
      </c>
      <c r="W50" s="155">
        <v>31680</v>
      </c>
      <c r="X50" s="50">
        <v>27800000</v>
      </c>
      <c r="Y50" s="155">
        <v>4990463</v>
      </c>
      <c r="Z50" s="152">
        <f t="shared" si="1"/>
        <v>32190001</v>
      </c>
      <c r="AA50" s="153">
        <f t="shared" si="2"/>
        <v>9295283</v>
      </c>
    </row>
    <row r="51" spans="1:27" ht="34.5" x14ac:dyDescent="0.25">
      <c r="A51" s="200" t="s">
        <v>412</v>
      </c>
      <c r="B51" s="50"/>
      <c r="C51" s="50"/>
      <c r="D51" s="50"/>
      <c r="E51" s="50"/>
      <c r="F51" s="50"/>
      <c r="G51" s="50"/>
      <c r="H51" s="50"/>
      <c r="I51" s="50"/>
      <c r="J51" s="50"/>
      <c r="K51" s="50"/>
      <c r="L51" s="50"/>
      <c r="M51" s="50"/>
      <c r="N51" s="50"/>
      <c r="O51" s="50"/>
      <c r="P51" s="50"/>
      <c r="Q51" s="50"/>
      <c r="R51" s="50"/>
      <c r="S51" s="50"/>
      <c r="T51" s="50"/>
      <c r="U51" s="155"/>
      <c r="V51" s="50"/>
      <c r="W51" s="155"/>
      <c r="X51" s="50">
        <v>7000000</v>
      </c>
      <c r="Y51" s="155">
        <v>6790000</v>
      </c>
      <c r="Z51" s="152">
        <f t="shared" si="1"/>
        <v>7000000</v>
      </c>
      <c r="AA51" s="153">
        <f t="shared" si="2"/>
        <v>6790000</v>
      </c>
    </row>
    <row r="52" spans="1:27" ht="34.5" x14ac:dyDescent="0.25">
      <c r="A52" s="200" t="s">
        <v>413</v>
      </c>
      <c r="B52" s="50"/>
      <c r="C52" s="50"/>
      <c r="D52" s="50">
        <v>3261609</v>
      </c>
      <c r="E52" s="50"/>
      <c r="F52" s="50"/>
      <c r="G52" s="50">
        <v>43447</v>
      </c>
      <c r="H52" s="50"/>
      <c r="I52" s="50"/>
      <c r="J52" s="50"/>
      <c r="K52" s="50">
        <v>0</v>
      </c>
      <c r="L52" s="50"/>
      <c r="M52" s="50">
        <v>0</v>
      </c>
      <c r="N52" s="50"/>
      <c r="O52" s="50">
        <v>4960</v>
      </c>
      <c r="P52" s="50">
        <v>-1000000</v>
      </c>
      <c r="Q52" s="50">
        <v>60579</v>
      </c>
      <c r="R52" s="155"/>
      <c r="S52" s="155">
        <v>30894</v>
      </c>
      <c r="T52" s="155"/>
      <c r="U52" s="155">
        <v>889140</v>
      </c>
      <c r="V52" s="155">
        <v>-1200000</v>
      </c>
      <c r="W52" s="155"/>
      <c r="X52" s="155">
        <v>5200000</v>
      </c>
      <c r="Y52" s="155">
        <v>0</v>
      </c>
      <c r="Z52" s="152">
        <f t="shared" si="1"/>
        <v>6261609</v>
      </c>
      <c r="AA52" s="153">
        <f t="shared" si="2"/>
        <v>1029020</v>
      </c>
    </row>
    <row r="53" spans="1:27" ht="79.5" x14ac:dyDescent="0.25">
      <c r="A53" s="200" t="s">
        <v>431</v>
      </c>
      <c r="B53" s="50"/>
      <c r="C53" s="50"/>
      <c r="D53" s="50">
        <v>20158332</v>
      </c>
      <c r="E53" s="50">
        <v>3577639</v>
      </c>
      <c r="F53" s="50"/>
      <c r="G53" s="50">
        <v>79480</v>
      </c>
      <c r="H53" s="50"/>
      <c r="I53" s="155">
        <v>432250</v>
      </c>
      <c r="J53" s="50"/>
      <c r="K53" s="155">
        <v>802762</v>
      </c>
      <c r="L53" s="50">
        <v>-4866665</v>
      </c>
      <c r="M53" s="155">
        <v>739333</v>
      </c>
      <c r="N53" s="50"/>
      <c r="O53" s="155">
        <v>515470</v>
      </c>
      <c r="P53" s="50">
        <v>-589176</v>
      </c>
      <c r="Q53" s="155">
        <v>1910091</v>
      </c>
      <c r="R53" s="155"/>
      <c r="S53" s="163">
        <v>1726521</v>
      </c>
      <c r="T53" s="155">
        <v>-207711</v>
      </c>
      <c r="U53" s="163">
        <v>1413083</v>
      </c>
      <c r="V53" s="155">
        <v>3500000</v>
      </c>
      <c r="W53" s="163">
        <v>6366315</v>
      </c>
      <c r="X53" s="155">
        <v>39062700</v>
      </c>
      <c r="Y53" s="163">
        <v>2605330</v>
      </c>
      <c r="Z53" s="152">
        <f t="shared" si="1"/>
        <v>57057480</v>
      </c>
      <c r="AA53" s="153">
        <f t="shared" si="2"/>
        <v>20168274</v>
      </c>
    </row>
    <row r="54" spans="1:27" ht="57" x14ac:dyDescent="0.25">
      <c r="A54" s="200" t="s">
        <v>432</v>
      </c>
      <c r="B54" s="50"/>
      <c r="C54" s="50"/>
      <c r="D54" s="50"/>
      <c r="E54" s="50"/>
      <c r="F54" s="50"/>
      <c r="G54" s="50"/>
      <c r="H54" s="50"/>
      <c r="I54" s="50">
        <v>347460</v>
      </c>
      <c r="J54" s="50"/>
      <c r="K54" s="50">
        <v>243602</v>
      </c>
      <c r="L54" s="50">
        <v>591062</v>
      </c>
      <c r="M54" s="50"/>
      <c r="N54" s="50"/>
      <c r="O54" s="50"/>
      <c r="P54" s="50"/>
      <c r="Q54" s="50"/>
      <c r="R54" s="155"/>
      <c r="S54" s="163">
        <v>-22000</v>
      </c>
      <c r="T54" s="155"/>
      <c r="U54" s="163"/>
      <c r="V54" s="155"/>
      <c r="W54" s="163"/>
      <c r="X54" s="155"/>
      <c r="Y54" s="163"/>
      <c r="Z54" s="152">
        <f t="shared" si="1"/>
        <v>591062</v>
      </c>
      <c r="AA54" s="153">
        <f t="shared" si="2"/>
        <v>569062</v>
      </c>
    </row>
    <row r="55" spans="1:27" ht="34.5" x14ac:dyDescent="0.25">
      <c r="A55" s="200" t="s">
        <v>416</v>
      </c>
      <c r="B55" s="50"/>
      <c r="C55" s="50"/>
      <c r="D55" s="50"/>
      <c r="E55" s="50"/>
      <c r="F55" s="50"/>
      <c r="G55" s="50"/>
      <c r="H55" s="50"/>
      <c r="I55" s="50"/>
      <c r="J55" s="50"/>
      <c r="K55" s="50"/>
      <c r="L55" s="50"/>
      <c r="M55" s="50"/>
      <c r="N55" s="50"/>
      <c r="O55" s="50"/>
      <c r="P55" s="50"/>
      <c r="Q55" s="50"/>
      <c r="R55" s="155"/>
      <c r="S55" s="155"/>
      <c r="T55" s="155"/>
      <c r="U55" s="155"/>
      <c r="V55" s="155"/>
      <c r="W55" s="155"/>
      <c r="X55" s="155"/>
      <c r="Y55" s="155"/>
      <c r="Z55" s="152">
        <f t="shared" si="1"/>
        <v>0</v>
      </c>
      <c r="AA55" s="153">
        <f t="shared" si="2"/>
        <v>0</v>
      </c>
    </row>
    <row r="56" spans="1:27" ht="45.75" x14ac:dyDescent="0.25">
      <c r="A56" s="200" t="s">
        <v>417</v>
      </c>
      <c r="B56" s="50"/>
      <c r="C56" s="50"/>
      <c r="D56" s="50"/>
      <c r="E56" s="50"/>
      <c r="F56" s="50"/>
      <c r="G56" s="50"/>
      <c r="H56" s="50"/>
      <c r="I56" s="50"/>
      <c r="J56" s="50"/>
      <c r="K56" s="50"/>
      <c r="L56" s="50"/>
      <c r="M56" s="50"/>
      <c r="N56" s="50"/>
      <c r="O56" s="50"/>
      <c r="P56" s="50"/>
      <c r="Q56" s="50"/>
      <c r="R56" s="155"/>
      <c r="S56" s="155"/>
      <c r="T56" s="155"/>
      <c r="U56" s="155"/>
      <c r="V56" s="155"/>
      <c r="W56" s="155"/>
      <c r="X56" s="155"/>
      <c r="Y56" s="155"/>
      <c r="Z56" s="152">
        <f t="shared" si="1"/>
        <v>0</v>
      </c>
      <c r="AA56" s="153">
        <f t="shared" si="2"/>
        <v>0</v>
      </c>
    </row>
    <row r="57" spans="1:27" ht="34.5" x14ac:dyDescent="0.25">
      <c r="A57" s="200" t="s">
        <v>433</v>
      </c>
      <c r="B57" s="50"/>
      <c r="C57" s="50"/>
      <c r="D57" s="50"/>
      <c r="E57" s="50"/>
      <c r="F57" s="50"/>
      <c r="G57" s="50"/>
      <c r="H57" s="50"/>
      <c r="I57" s="50"/>
      <c r="J57" s="50"/>
      <c r="K57" s="50"/>
      <c r="L57" s="50"/>
      <c r="M57" s="50"/>
      <c r="N57" s="50"/>
      <c r="O57" s="50"/>
      <c r="P57" s="50"/>
      <c r="Q57" s="50"/>
      <c r="R57" s="155"/>
      <c r="S57" s="155"/>
      <c r="T57" s="155"/>
      <c r="U57" s="155"/>
      <c r="V57" s="155"/>
      <c r="W57" s="155"/>
      <c r="X57" s="155">
        <v>1000000</v>
      </c>
      <c r="Y57" s="155">
        <v>864433</v>
      </c>
      <c r="Z57" s="152">
        <f t="shared" si="1"/>
        <v>1000000</v>
      </c>
      <c r="AA57" s="153">
        <f t="shared" si="2"/>
        <v>864433</v>
      </c>
    </row>
    <row r="58" spans="1:27" ht="23.25" x14ac:dyDescent="0.25">
      <c r="A58" s="200" t="s">
        <v>419</v>
      </c>
      <c r="B58" s="50"/>
      <c r="C58" s="50"/>
      <c r="D58" s="50">
        <v>2570690</v>
      </c>
      <c r="E58" s="50">
        <v>1216033</v>
      </c>
      <c r="F58" s="50"/>
      <c r="G58" s="50">
        <v>94063</v>
      </c>
      <c r="H58" s="50"/>
      <c r="I58" s="50">
        <v>187324</v>
      </c>
      <c r="J58" s="50"/>
      <c r="K58" s="50">
        <v>360450</v>
      </c>
      <c r="L58" s="50"/>
      <c r="M58" s="50">
        <v>171566</v>
      </c>
      <c r="N58" s="50"/>
      <c r="O58" s="50">
        <v>48075</v>
      </c>
      <c r="P58" s="50">
        <v>589176</v>
      </c>
      <c r="Q58" s="50">
        <v>773473</v>
      </c>
      <c r="R58" s="155"/>
      <c r="S58" s="155">
        <v>100000</v>
      </c>
      <c r="T58" s="155"/>
      <c r="U58" s="155">
        <v>169906</v>
      </c>
      <c r="V58" s="155">
        <v>250000</v>
      </c>
      <c r="W58" s="155">
        <v>256345</v>
      </c>
      <c r="X58" s="155">
        <v>7160824</v>
      </c>
      <c r="Y58" s="155">
        <v>406134</v>
      </c>
      <c r="Z58" s="152">
        <f t="shared" si="1"/>
        <v>10570690</v>
      </c>
      <c r="AA58" s="153">
        <f t="shared" si="2"/>
        <v>3783369</v>
      </c>
    </row>
    <row r="59" spans="1:27" ht="23.25" x14ac:dyDescent="0.25">
      <c r="A59" s="200" t="s">
        <v>434</v>
      </c>
      <c r="B59" s="50"/>
      <c r="C59" s="50"/>
      <c r="D59" s="50">
        <v>2151815</v>
      </c>
      <c r="E59" s="50"/>
      <c r="F59" s="50"/>
      <c r="G59" s="50"/>
      <c r="H59" s="50"/>
      <c r="I59" s="50">
        <v>937500</v>
      </c>
      <c r="J59" s="50"/>
      <c r="K59" s="50">
        <v>947640</v>
      </c>
      <c r="L59" s="50">
        <v>118525</v>
      </c>
      <c r="M59" s="50">
        <v>385200</v>
      </c>
      <c r="N59" s="50"/>
      <c r="O59" s="50">
        <v>30000</v>
      </c>
      <c r="P59" s="50"/>
      <c r="Q59" s="50">
        <v>42500</v>
      </c>
      <c r="R59" s="155"/>
      <c r="S59" s="155"/>
      <c r="T59" s="155">
        <v>85000</v>
      </c>
      <c r="U59" s="155">
        <v>12500</v>
      </c>
      <c r="V59" s="155"/>
      <c r="W59" s="155"/>
      <c r="X59" s="155">
        <v>1796475</v>
      </c>
      <c r="Y59" s="155"/>
      <c r="Z59" s="152">
        <f t="shared" si="1"/>
        <v>4151815</v>
      </c>
      <c r="AA59" s="153">
        <f t="shared" si="2"/>
        <v>2355340</v>
      </c>
    </row>
    <row r="60" spans="1:27" ht="23.25" x14ac:dyDescent="0.25">
      <c r="A60" s="200" t="s">
        <v>435</v>
      </c>
      <c r="B60" s="50"/>
      <c r="C60" s="50"/>
      <c r="D60" s="50"/>
      <c r="E60" s="50"/>
      <c r="F60" s="50"/>
      <c r="G60" s="50"/>
      <c r="H60" s="50"/>
      <c r="I60" s="50"/>
      <c r="J60" s="50"/>
      <c r="K60" s="50"/>
      <c r="L60" s="50"/>
      <c r="M60" s="50"/>
      <c r="N60" s="50"/>
      <c r="O60" s="50"/>
      <c r="P60" s="50"/>
      <c r="Q60" s="50"/>
      <c r="R60" s="50"/>
      <c r="S60" s="50"/>
      <c r="T60" s="50"/>
      <c r="U60" s="50"/>
      <c r="V60" s="50"/>
      <c r="W60" s="50"/>
      <c r="X60" s="50"/>
      <c r="Y60" s="50"/>
      <c r="Z60" s="152">
        <f t="shared" si="1"/>
        <v>0</v>
      </c>
      <c r="AA60" s="153">
        <f t="shared" si="2"/>
        <v>0</v>
      </c>
    </row>
    <row r="61" spans="1:27" ht="23.25" x14ac:dyDescent="0.25">
      <c r="A61" s="200" t="s">
        <v>436</v>
      </c>
      <c r="B61" s="50"/>
      <c r="C61" s="50"/>
      <c r="D61" s="50"/>
      <c r="E61" s="50"/>
      <c r="F61" s="50"/>
      <c r="G61" s="50"/>
      <c r="H61" s="50"/>
      <c r="I61" s="50">
        <v>4157078</v>
      </c>
      <c r="J61" s="50"/>
      <c r="K61" s="50"/>
      <c r="L61" s="50">
        <v>4157078</v>
      </c>
      <c r="M61" s="50"/>
      <c r="N61" s="50"/>
      <c r="O61" s="50">
        <v>100080</v>
      </c>
      <c r="P61" s="50"/>
      <c r="Q61" s="50"/>
      <c r="R61" s="50"/>
      <c r="S61" s="50"/>
      <c r="T61" s="50"/>
      <c r="U61" s="50"/>
      <c r="V61" s="50"/>
      <c r="W61" s="50"/>
      <c r="X61" s="50">
        <v>200000</v>
      </c>
      <c r="Y61" s="50">
        <v>8547931</v>
      </c>
      <c r="Z61" s="152">
        <f t="shared" si="1"/>
        <v>4357078</v>
      </c>
      <c r="AA61" s="153">
        <f t="shared" si="2"/>
        <v>12805089</v>
      </c>
    </row>
    <row r="62" spans="1:27" ht="23.25" x14ac:dyDescent="0.25">
      <c r="A62" s="200" t="s">
        <v>425</v>
      </c>
      <c r="B62" s="50"/>
      <c r="C62" s="50"/>
      <c r="D62" s="50"/>
      <c r="E62" s="50"/>
      <c r="F62" s="50"/>
      <c r="G62" s="50"/>
      <c r="H62" s="50"/>
      <c r="I62" s="50"/>
      <c r="J62" s="50"/>
      <c r="K62" s="50"/>
      <c r="L62" s="50"/>
      <c r="M62" s="50"/>
      <c r="N62" s="50"/>
      <c r="O62" s="50"/>
      <c r="P62" s="50"/>
      <c r="Q62" s="50"/>
      <c r="R62" s="50"/>
      <c r="S62" s="50"/>
      <c r="T62" s="50">
        <v>122711</v>
      </c>
      <c r="U62" s="50">
        <v>122711</v>
      </c>
      <c r="V62" s="50">
        <v>30000</v>
      </c>
      <c r="W62" s="50">
        <v>28800</v>
      </c>
      <c r="X62" s="50"/>
      <c r="Y62" s="50"/>
      <c r="Z62" s="152">
        <f t="shared" si="1"/>
        <v>152711</v>
      </c>
      <c r="AA62" s="153">
        <f t="shared" si="2"/>
        <v>151511</v>
      </c>
    </row>
    <row r="63" spans="1:27" x14ac:dyDescent="0.25">
      <c r="C63" s="115"/>
      <c r="E63" s="115"/>
      <c r="G63" s="115"/>
      <c r="I63" s="115"/>
      <c r="K63" s="115"/>
      <c r="M63" s="115"/>
      <c r="O63" s="115"/>
      <c r="Q63" s="115"/>
      <c r="S63" s="115"/>
      <c r="U63" s="115"/>
      <c r="W63" s="115"/>
      <c r="Y63" s="115"/>
    </row>
    <row r="64" spans="1:27" x14ac:dyDescent="0.25">
      <c r="A64" s="295"/>
      <c r="B64" s="295"/>
      <c r="C64" s="4"/>
      <c r="E64" s="4"/>
      <c r="G64" s="4"/>
      <c r="I64" s="4"/>
      <c r="K64" s="4"/>
      <c r="M64" s="4"/>
      <c r="O64" s="4"/>
      <c r="Q64" s="4"/>
      <c r="S64" s="4"/>
      <c r="U64" s="4"/>
      <c r="W64" s="4"/>
      <c r="Y64" s="4"/>
    </row>
    <row r="65" spans="19:27" x14ac:dyDescent="0.25">
      <c r="AA65" s="115"/>
    </row>
    <row r="67" spans="19:27" ht="15.75" x14ac:dyDescent="0.25">
      <c r="Z67" s="164"/>
      <c r="AA67" s="164"/>
    </row>
    <row r="68" spans="19:27" x14ac:dyDescent="0.25">
      <c r="S68" s="115">
        <v>6294295</v>
      </c>
      <c r="U68" s="115">
        <v>3962226</v>
      </c>
      <c r="W68" s="115">
        <v>9354519</v>
      </c>
      <c r="Y68" s="115"/>
      <c r="Z68" s="115"/>
      <c r="AA68" s="115"/>
    </row>
    <row r="70" spans="19:27" x14ac:dyDescent="0.25">
      <c r="Z70" s="115">
        <v>1278575916</v>
      </c>
      <c r="AA70" s="115">
        <v>1052436239</v>
      </c>
    </row>
    <row r="71" spans="19:27" x14ac:dyDescent="0.25">
      <c r="Z71" s="115"/>
    </row>
  </sheetData>
  <mergeCells count="40">
    <mergeCell ref="X2:AA2"/>
    <mergeCell ref="B2:C2"/>
    <mergeCell ref="D2:E2"/>
    <mergeCell ref="F2:G2"/>
    <mergeCell ref="H2:I2"/>
    <mergeCell ref="J2:K2"/>
    <mergeCell ref="L2:M2"/>
    <mergeCell ref="N2:O2"/>
    <mergeCell ref="P2:Q2"/>
    <mergeCell ref="R2:S2"/>
    <mergeCell ref="T2:U2"/>
    <mergeCell ref="V2:W2"/>
    <mergeCell ref="X3:AA3"/>
    <mergeCell ref="B3:C3"/>
    <mergeCell ref="D3:E3"/>
    <mergeCell ref="F3:G3"/>
    <mergeCell ref="H3:I3"/>
    <mergeCell ref="J3:K3"/>
    <mergeCell ref="L3:M3"/>
    <mergeCell ref="N3:O3"/>
    <mergeCell ref="P3:Q3"/>
    <mergeCell ref="R3:S3"/>
    <mergeCell ref="T3:U3"/>
    <mergeCell ref="V3:W3"/>
    <mergeCell ref="A64:B64"/>
    <mergeCell ref="Z7:AA7"/>
    <mergeCell ref="A30:A31"/>
    <mergeCell ref="T7:U7"/>
    <mergeCell ref="V7:W7"/>
    <mergeCell ref="X7:Y7"/>
    <mergeCell ref="N7:O7"/>
    <mergeCell ref="P7:Q7"/>
    <mergeCell ref="R7:S7"/>
    <mergeCell ref="H7:I7"/>
    <mergeCell ref="J7:K7"/>
    <mergeCell ref="L7:M7"/>
    <mergeCell ref="A7:A8"/>
    <mergeCell ref="B7:C7"/>
    <mergeCell ref="D7:E7"/>
    <mergeCell ref="F7:G7"/>
  </mergeCells>
  <pageMargins left="0" right="0" top="0.75" bottom="0.75" header="0.3" footer="0.3"/>
  <pageSetup scale="5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G11"/>
  <sheetViews>
    <sheetView workbookViewId="0">
      <selection activeCell="F18" sqref="F18"/>
    </sheetView>
  </sheetViews>
  <sheetFormatPr defaultRowHeight="15" x14ac:dyDescent="0.25"/>
  <cols>
    <col min="2" max="3" width="27" customWidth="1"/>
    <col min="4" max="4" width="14.5703125" customWidth="1"/>
    <col min="5" max="5" width="14" customWidth="1"/>
    <col min="6" max="6" width="21.140625" customWidth="1"/>
    <col min="7" max="7" width="13.42578125" customWidth="1"/>
  </cols>
  <sheetData>
    <row r="2" spans="1:7" ht="15.75" x14ac:dyDescent="0.25">
      <c r="A2" s="77" t="s">
        <v>439</v>
      </c>
    </row>
    <row r="3" spans="1:7" ht="36" customHeight="1" x14ac:dyDescent="0.25">
      <c r="A3" s="240" t="s">
        <v>453</v>
      </c>
      <c r="B3" s="240"/>
      <c r="C3" s="240"/>
      <c r="D3" s="240"/>
      <c r="E3" s="240"/>
      <c r="F3" s="240"/>
    </row>
    <row r="5" spans="1:7" ht="16.5" customHeight="1" x14ac:dyDescent="0.25">
      <c r="A5" s="302" t="s">
        <v>440</v>
      </c>
      <c r="B5" s="165" t="s">
        <v>446</v>
      </c>
      <c r="C5" s="302" t="s">
        <v>441</v>
      </c>
      <c r="D5" s="260" t="s">
        <v>443</v>
      </c>
      <c r="E5" s="260"/>
      <c r="F5" s="260"/>
    </row>
    <row r="6" spans="1:7" ht="42" x14ac:dyDescent="0.25">
      <c r="A6" s="303"/>
      <c r="B6" s="166" t="s">
        <v>447</v>
      </c>
      <c r="C6" s="303"/>
      <c r="D6" s="168" t="s">
        <v>454</v>
      </c>
      <c r="E6" s="80" t="s">
        <v>392</v>
      </c>
      <c r="F6" s="80" t="s">
        <v>442</v>
      </c>
    </row>
    <row r="7" spans="1:7" ht="21.75" customHeight="1" x14ac:dyDescent="0.25">
      <c r="A7" s="1"/>
      <c r="B7" s="1" t="s">
        <v>448</v>
      </c>
      <c r="C7" s="151" t="s">
        <v>444</v>
      </c>
      <c r="D7" s="50">
        <v>620244</v>
      </c>
      <c r="E7" s="50">
        <v>615680</v>
      </c>
      <c r="F7" s="167">
        <f>+E7/D7</f>
        <v>0.99264160556168213</v>
      </c>
    </row>
    <row r="8" spans="1:7" ht="27.75" customHeight="1" x14ac:dyDescent="0.25">
      <c r="A8" s="1"/>
      <c r="B8" s="1" t="s">
        <v>449</v>
      </c>
      <c r="C8" s="151" t="s">
        <v>445</v>
      </c>
      <c r="D8" s="50">
        <v>103184</v>
      </c>
      <c r="E8" s="50">
        <v>93349</v>
      </c>
      <c r="F8" s="167">
        <f t="shared" ref="F8:F11" si="0">+E8/D8</f>
        <v>0.90468483485811757</v>
      </c>
    </row>
    <row r="9" spans="1:7" ht="30" x14ac:dyDescent="0.25">
      <c r="A9" s="1"/>
      <c r="B9" s="1" t="s">
        <v>450</v>
      </c>
      <c r="C9" s="151" t="s">
        <v>452</v>
      </c>
      <c r="D9" s="50">
        <v>116776</v>
      </c>
      <c r="E9" s="50">
        <v>67916</v>
      </c>
      <c r="F9" s="167">
        <f t="shared" si="0"/>
        <v>0.58159210796739058</v>
      </c>
      <c r="G9" t="s">
        <v>456</v>
      </c>
    </row>
    <row r="10" spans="1:7" x14ac:dyDescent="0.25">
      <c r="A10" s="1"/>
      <c r="B10" s="1" t="s">
        <v>451</v>
      </c>
      <c r="C10" s="151" t="s">
        <v>303</v>
      </c>
      <c r="D10" s="50">
        <v>83966</v>
      </c>
      <c r="E10" s="50">
        <v>69515</v>
      </c>
      <c r="F10" s="167">
        <f t="shared" si="0"/>
        <v>0.82789462401448211</v>
      </c>
    </row>
    <row r="11" spans="1:7" x14ac:dyDescent="0.25">
      <c r="A11" s="1"/>
      <c r="B11" s="1" t="s">
        <v>56</v>
      </c>
      <c r="C11" s="1"/>
      <c r="D11" s="50">
        <f>SUM(D7:D10)</f>
        <v>924170</v>
      </c>
      <c r="E11" s="50">
        <f>SUM(E7:E10)</f>
        <v>846460</v>
      </c>
      <c r="F11" s="167">
        <f t="shared" si="0"/>
        <v>0.91591373881428739</v>
      </c>
    </row>
  </sheetData>
  <mergeCells count="4">
    <mergeCell ref="D5:F5"/>
    <mergeCell ref="C5:C6"/>
    <mergeCell ref="A5:A6"/>
    <mergeCell ref="A3:F3"/>
  </mergeCells>
  <pageMargins left="0.7" right="0.7" top="0.75" bottom="0.25" header="0.3" footer="0"/>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I32"/>
  <sheetViews>
    <sheetView topLeftCell="A10" workbookViewId="0">
      <selection activeCell="H18" sqref="H18"/>
    </sheetView>
  </sheetViews>
  <sheetFormatPr defaultRowHeight="15" x14ac:dyDescent="0.25"/>
  <cols>
    <col min="1" max="1" width="15.5703125" customWidth="1"/>
    <col min="2" max="2" width="21.5703125" customWidth="1"/>
    <col min="3" max="3" width="14.5703125" customWidth="1"/>
    <col min="4" max="4" width="15" customWidth="1"/>
    <col min="5" max="5" width="15.140625" customWidth="1"/>
    <col min="6" max="6" width="10.5703125" customWidth="1"/>
    <col min="7" max="7" width="10.42578125" customWidth="1"/>
    <col min="8" max="8" width="12.85546875" customWidth="1"/>
    <col min="9" max="9" width="18.42578125" customWidth="1"/>
    <col min="14" max="14" width="22" customWidth="1"/>
  </cols>
  <sheetData>
    <row r="2" spans="1:9" ht="15.75" x14ac:dyDescent="0.25">
      <c r="A2" s="77" t="s">
        <v>457</v>
      </c>
    </row>
    <row r="3" spans="1:9" ht="36" customHeight="1" x14ac:dyDescent="0.25">
      <c r="A3" s="240" t="s">
        <v>474</v>
      </c>
      <c r="B3" s="240"/>
      <c r="C3" s="240"/>
      <c r="D3" s="240"/>
      <c r="E3" s="240"/>
      <c r="F3" s="240"/>
      <c r="G3" s="240"/>
      <c r="H3" s="240"/>
      <c r="I3" s="240"/>
    </row>
    <row r="4" spans="1:9" x14ac:dyDescent="0.25">
      <c r="G4" t="s">
        <v>472</v>
      </c>
    </row>
    <row r="5" spans="1:9" ht="16.5" customHeight="1" x14ac:dyDescent="0.25">
      <c r="A5" s="302" t="s">
        <v>440</v>
      </c>
      <c r="B5" s="165"/>
      <c r="C5" s="260" t="s">
        <v>459</v>
      </c>
      <c r="D5" s="260"/>
      <c r="E5" s="260"/>
      <c r="F5" s="296" t="s">
        <v>461</v>
      </c>
      <c r="G5" s="305"/>
      <c r="H5" s="297"/>
      <c r="I5" s="306" t="s">
        <v>465</v>
      </c>
    </row>
    <row r="6" spans="1:9" ht="33" customHeight="1" x14ac:dyDescent="0.25">
      <c r="A6" s="303"/>
      <c r="B6" s="166" t="s">
        <v>458</v>
      </c>
      <c r="C6" s="168" t="s">
        <v>460</v>
      </c>
      <c r="D6" s="80" t="s">
        <v>392</v>
      </c>
      <c r="E6" s="169" t="s">
        <v>442</v>
      </c>
      <c r="F6" s="1" t="s">
        <v>462</v>
      </c>
      <c r="G6" s="1" t="s">
        <v>463</v>
      </c>
      <c r="H6" s="151" t="s">
        <v>464</v>
      </c>
      <c r="I6" s="307"/>
    </row>
    <row r="7" spans="1:9" ht="30" customHeight="1" x14ac:dyDescent="0.25">
      <c r="A7" s="1" t="s">
        <v>475</v>
      </c>
      <c r="B7" s="151" t="s">
        <v>473</v>
      </c>
      <c r="C7" s="50">
        <v>10000</v>
      </c>
      <c r="D7" s="50">
        <v>10000</v>
      </c>
      <c r="E7" s="167">
        <f>+D7/C7</f>
        <v>1</v>
      </c>
      <c r="F7" s="1">
        <v>10000</v>
      </c>
      <c r="G7" s="1">
        <v>20764</v>
      </c>
      <c r="H7" s="1">
        <f>+F7+G7</f>
        <v>30764</v>
      </c>
      <c r="I7" s="74" t="s">
        <v>239</v>
      </c>
    </row>
    <row r="8" spans="1:9" ht="27.75" customHeight="1" x14ac:dyDescent="0.25">
      <c r="A8" s="1" t="s">
        <v>476</v>
      </c>
      <c r="B8" s="151" t="s">
        <v>477</v>
      </c>
      <c r="C8" s="50">
        <v>340500</v>
      </c>
      <c r="E8" s="167"/>
      <c r="F8" s="1"/>
      <c r="G8" s="1"/>
      <c r="H8" s="1"/>
      <c r="I8" s="171" t="s">
        <v>480</v>
      </c>
    </row>
    <row r="9" spans="1:9" ht="45.75" thickBot="1" x14ac:dyDescent="0.3">
      <c r="A9" s="1" t="s">
        <v>476</v>
      </c>
      <c r="B9" s="151" t="s">
        <v>478</v>
      </c>
      <c r="C9" s="50">
        <v>1836780</v>
      </c>
      <c r="D9" s="206">
        <v>1463369</v>
      </c>
      <c r="E9" s="167"/>
      <c r="F9" s="1"/>
      <c r="G9" s="1"/>
      <c r="H9" s="1"/>
      <c r="I9" s="171" t="s">
        <v>481</v>
      </c>
    </row>
    <row r="10" spans="1:9" ht="30" x14ac:dyDescent="0.25">
      <c r="A10" s="1" t="s">
        <v>476</v>
      </c>
      <c r="B10" s="1" t="s">
        <v>479</v>
      </c>
      <c r="C10" s="50">
        <v>1886500</v>
      </c>
      <c r="D10" s="50"/>
      <c r="E10" s="167"/>
      <c r="F10" s="1"/>
      <c r="G10" s="1"/>
      <c r="H10" s="1"/>
      <c r="I10" s="171" t="s">
        <v>482</v>
      </c>
    </row>
    <row r="11" spans="1:9" x14ac:dyDescent="0.25">
      <c r="A11" s="1"/>
      <c r="B11" s="1" t="s">
        <v>56</v>
      </c>
      <c r="C11" s="50">
        <f>SUM(C7:C10)</f>
        <v>4073780</v>
      </c>
      <c r="D11" s="50">
        <f>SUM(D7:D10)</f>
        <v>1473369</v>
      </c>
      <c r="E11" s="167">
        <f t="shared" ref="E11" si="0">+D11/C11</f>
        <v>0.3616712242683699</v>
      </c>
      <c r="F11" s="1"/>
      <c r="G11" s="1"/>
      <c r="H11" s="1"/>
      <c r="I11" s="1"/>
    </row>
    <row r="14" spans="1:9" x14ac:dyDescent="0.25">
      <c r="B14" s="76" t="s">
        <v>496</v>
      </c>
      <c r="C14" s="76"/>
      <c r="D14" s="76"/>
      <c r="E14" s="76"/>
    </row>
    <row r="16" spans="1:9" ht="30" x14ac:dyDescent="0.25">
      <c r="A16" s="1" t="s">
        <v>466</v>
      </c>
      <c r="B16" s="1" t="s">
        <v>467</v>
      </c>
      <c r="C16" s="151" t="s">
        <v>468</v>
      </c>
      <c r="D16" s="151" t="s">
        <v>469</v>
      </c>
      <c r="E16" s="151" t="s">
        <v>470</v>
      </c>
      <c r="F16" s="151" t="s">
        <v>471</v>
      </c>
    </row>
    <row r="17" spans="1:6" x14ac:dyDescent="0.25">
      <c r="A17" s="1">
        <v>9450</v>
      </c>
      <c r="B17" s="1">
        <v>600</v>
      </c>
      <c r="C17" s="50">
        <v>4563.95</v>
      </c>
      <c r="D17" s="50">
        <v>772239.48300000001</v>
      </c>
      <c r="E17" s="50">
        <f>+C17+D17</f>
        <v>776803.43299999996</v>
      </c>
      <c r="F17" s="1">
        <v>7000</v>
      </c>
    </row>
    <row r="18" spans="1:6" x14ac:dyDescent="0.25">
      <c r="A18" s="1">
        <v>9450</v>
      </c>
      <c r="B18" s="1">
        <v>601</v>
      </c>
      <c r="C18" s="50">
        <v>9834.1650000000009</v>
      </c>
      <c r="D18" s="50">
        <v>119983</v>
      </c>
      <c r="E18" s="50">
        <f t="shared" ref="E18:E31" si="1">+C18+D18</f>
        <v>129817.16500000001</v>
      </c>
      <c r="F18" s="1">
        <v>10250</v>
      </c>
    </row>
    <row r="19" spans="1:6" x14ac:dyDescent="0.25">
      <c r="A19" s="1">
        <v>9450</v>
      </c>
      <c r="B19" s="1">
        <v>602</v>
      </c>
      <c r="C19" s="50">
        <v>48861.406000000003</v>
      </c>
      <c r="D19" s="50">
        <v>145000</v>
      </c>
      <c r="E19" s="50">
        <f t="shared" si="1"/>
        <v>193861.40600000002</v>
      </c>
      <c r="F19" s="1">
        <v>42000</v>
      </c>
    </row>
    <row r="20" spans="1:6" x14ac:dyDescent="0.25">
      <c r="A20" s="1">
        <v>9450</v>
      </c>
      <c r="B20" s="1">
        <v>606</v>
      </c>
      <c r="C20" s="50">
        <v>7126.0550000000003</v>
      </c>
      <c r="D20" s="50">
        <v>72720</v>
      </c>
      <c r="E20" s="50">
        <f t="shared" si="1"/>
        <v>79846.054999999993</v>
      </c>
      <c r="F20" s="1">
        <v>2500</v>
      </c>
    </row>
    <row r="21" spans="1:6" x14ac:dyDescent="0.25">
      <c r="A21" s="1">
        <v>9450</v>
      </c>
      <c r="B21" s="1">
        <v>606</v>
      </c>
      <c r="C21" s="50">
        <v>5.33</v>
      </c>
      <c r="D21" s="50">
        <v>473.71499999999997</v>
      </c>
      <c r="E21" s="50">
        <f t="shared" si="1"/>
        <v>479.04499999999996</v>
      </c>
      <c r="F21" s="1"/>
    </row>
    <row r="22" spans="1:6" x14ac:dyDescent="0.25">
      <c r="A22" s="1">
        <v>9770</v>
      </c>
      <c r="B22" s="1">
        <v>231</v>
      </c>
      <c r="C22" s="50">
        <v>0</v>
      </c>
      <c r="D22" s="50">
        <v>30000</v>
      </c>
      <c r="E22" s="50">
        <f t="shared" si="1"/>
        <v>30000</v>
      </c>
      <c r="F22" s="1"/>
    </row>
    <row r="23" spans="1:6" x14ac:dyDescent="0.25">
      <c r="A23" s="1">
        <v>9450</v>
      </c>
      <c r="B23" s="1">
        <v>231</v>
      </c>
      <c r="C23" s="50">
        <v>0</v>
      </c>
      <c r="D23" s="50">
        <v>132000</v>
      </c>
      <c r="E23" s="50">
        <f t="shared" si="1"/>
        <v>132000</v>
      </c>
      <c r="F23" s="1">
        <v>25000</v>
      </c>
    </row>
    <row r="24" spans="1:6" x14ac:dyDescent="0.25">
      <c r="A24" s="1">
        <v>9450</v>
      </c>
      <c r="B24" s="1">
        <v>231</v>
      </c>
      <c r="C24" s="50">
        <v>0</v>
      </c>
      <c r="D24" s="50">
        <v>8520.4760000000006</v>
      </c>
      <c r="E24" s="50">
        <f t="shared" si="1"/>
        <v>8520.4760000000006</v>
      </c>
      <c r="F24" s="1"/>
    </row>
    <row r="25" spans="1:6" x14ac:dyDescent="0.25">
      <c r="A25" s="1">
        <v>9450</v>
      </c>
      <c r="B25" s="1">
        <v>606</v>
      </c>
      <c r="C25" s="50">
        <v>7319</v>
      </c>
      <c r="D25" s="50">
        <v>0</v>
      </c>
      <c r="E25" s="50">
        <f t="shared" si="1"/>
        <v>7319</v>
      </c>
      <c r="F25" s="1"/>
    </row>
    <row r="26" spans="1:6" x14ac:dyDescent="0.25">
      <c r="A26" s="1">
        <v>9770</v>
      </c>
      <c r="B26" s="1">
        <v>231</v>
      </c>
      <c r="C26" s="50">
        <v>0</v>
      </c>
      <c r="D26" s="50">
        <v>2000</v>
      </c>
      <c r="E26" s="50">
        <f t="shared" si="1"/>
        <v>2000</v>
      </c>
      <c r="F26" s="1"/>
    </row>
    <row r="27" spans="1:6" x14ac:dyDescent="0.25">
      <c r="A27" s="1">
        <v>9770</v>
      </c>
      <c r="B27" s="1">
        <v>602</v>
      </c>
      <c r="C27" s="50">
        <v>340.5</v>
      </c>
      <c r="D27" s="50">
        <v>0</v>
      </c>
      <c r="E27" s="50">
        <f t="shared" si="1"/>
        <v>340.5</v>
      </c>
      <c r="F27" s="1">
        <v>5000</v>
      </c>
    </row>
    <row r="28" spans="1:6" x14ac:dyDescent="0.25">
      <c r="A28" s="1">
        <v>9770</v>
      </c>
      <c r="B28" s="1">
        <v>602</v>
      </c>
      <c r="C28" s="50">
        <v>1230.211</v>
      </c>
      <c r="D28" s="50">
        <v>0</v>
      </c>
      <c r="E28" s="50">
        <f t="shared" si="1"/>
        <v>1230.211</v>
      </c>
      <c r="F28" s="1"/>
    </row>
    <row r="29" spans="1:6" x14ac:dyDescent="0.25">
      <c r="A29" s="1">
        <v>9770</v>
      </c>
      <c r="B29" s="1">
        <v>602</v>
      </c>
      <c r="C29" s="50">
        <v>1886.5</v>
      </c>
      <c r="D29" s="50">
        <v>0</v>
      </c>
      <c r="E29" s="50">
        <f t="shared" si="1"/>
        <v>1886.5</v>
      </c>
      <c r="F29" s="1"/>
    </row>
    <row r="30" spans="1:6" x14ac:dyDescent="0.25">
      <c r="A30" s="1">
        <v>9770</v>
      </c>
      <c r="B30" s="1">
        <v>602</v>
      </c>
      <c r="C30" s="50">
        <v>0</v>
      </c>
      <c r="D30" s="50">
        <v>5275</v>
      </c>
      <c r="E30" s="50">
        <f t="shared" si="1"/>
        <v>5275</v>
      </c>
      <c r="F30" s="1"/>
    </row>
    <row r="31" spans="1:6" x14ac:dyDescent="0.25">
      <c r="A31" s="1">
        <v>9450</v>
      </c>
      <c r="B31" s="1">
        <v>231</v>
      </c>
      <c r="C31" s="50">
        <v>0</v>
      </c>
      <c r="D31" s="50">
        <v>3173.5410000000002</v>
      </c>
      <c r="E31" s="50">
        <f t="shared" si="1"/>
        <v>3173.5410000000002</v>
      </c>
      <c r="F31" s="1"/>
    </row>
    <row r="32" spans="1:6" x14ac:dyDescent="0.25">
      <c r="A32" s="304" t="s">
        <v>56</v>
      </c>
      <c r="B32" s="304"/>
      <c r="C32" s="170">
        <f>SUM(C17:C31)</f>
        <v>81167.116999999998</v>
      </c>
      <c r="D32" s="170">
        <f>SUM(D17:D31)</f>
        <v>1291385.2150000001</v>
      </c>
      <c r="E32" s="170">
        <f>SUM(E17:E31)</f>
        <v>1372552.3319999997</v>
      </c>
      <c r="F32" s="170">
        <f>SUM(F17:F31)</f>
        <v>91750</v>
      </c>
    </row>
  </sheetData>
  <mergeCells count="6">
    <mergeCell ref="A3:I3"/>
    <mergeCell ref="A32:B32"/>
    <mergeCell ref="A5:A6"/>
    <mergeCell ref="C5:E5"/>
    <mergeCell ref="F5:H5"/>
    <mergeCell ref="I5:I6"/>
  </mergeCells>
  <pageMargins left="0.2" right="0.2"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J12"/>
  <sheetViews>
    <sheetView workbookViewId="0">
      <selection activeCell="F20" sqref="F20"/>
    </sheetView>
  </sheetViews>
  <sheetFormatPr defaultRowHeight="15" x14ac:dyDescent="0.25"/>
  <cols>
    <col min="1" max="1" width="14.28515625" customWidth="1"/>
    <col min="2" max="2" width="17" customWidth="1"/>
    <col min="3" max="3" width="11.7109375" customWidth="1"/>
    <col min="4" max="4" width="11.85546875" customWidth="1"/>
    <col min="5" max="5" width="20.28515625" customWidth="1"/>
  </cols>
  <sheetData>
    <row r="2" spans="1:10" ht="15.75" x14ac:dyDescent="0.25">
      <c r="A2" s="77" t="s">
        <v>483</v>
      </c>
    </row>
    <row r="3" spans="1:10" ht="60" customHeight="1" x14ac:dyDescent="0.25">
      <c r="A3" s="240" t="s">
        <v>484</v>
      </c>
      <c r="B3" s="240"/>
      <c r="C3" s="240"/>
      <c r="D3" s="240"/>
      <c r="E3" s="240"/>
      <c r="F3" s="12"/>
      <c r="G3" s="12"/>
      <c r="H3" s="12"/>
      <c r="I3" s="12"/>
    </row>
    <row r="4" spans="1:10" x14ac:dyDescent="0.25">
      <c r="E4" t="s">
        <v>472</v>
      </c>
    </row>
    <row r="5" spans="1:10" ht="15.75" x14ac:dyDescent="0.25">
      <c r="A5" s="308" t="s">
        <v>440</v>
      </c>
      <c r="B5" s="173"/>
      <c r="C5" s="260" t="s">
        <v>485</v>
      </c>
      <c r="D5" s="260"/>
      <c r="E5" s="260"/>
      <c r="F5" s="295"/>
      <c r="G5" s="295"/>
      <c r="H5" s="295"/>
      <c r="I5" s="240"/>
    </row>
    <row r="6" spans="1:10" ht="15.75" x14ac:dyDescent="0.25">
      <c r="A6" s="308"/>
      <c r="B6" s="173" t="s">
        <v>487</v>
      </c>
      <c r="C6" s="168" t="s">
        <v>486</v>
      </c>
      <c r="D6" s="80" t="s">
        <v>392</v>
      </c>
      <c r="E6" s="169" t="s">
        <v>442</v>
      </c>
      <c r="H6" s="148"/>
      <c r="I6" s="240"/>
    </row>
    <row r="7" spans="1:10" x14ac:dyDescent="0.25">
      <c r="A7" s="1"/>
      <c r="B7" s="151"/>
      <c r="C7" s="50">
        <v>0</v>
      </c>
      <c r="D7" s="50">
        <v>0</v>
      </c>
      <c r="E7" s="167">
        <v>0</v>
      </c>
      <c r="I7" s="76"/>
    </row>
    <row r="8" spans="1:10" x14ac:dyDescent="0.25">
      <c r="A8" s="1"/>
      <c r="B8" s="1"/>
      <c r="C8" s="50"/>
      <c r="D8" s="50"/>
      <c r="E8" s="167"/>
      <c r="I8" s="12"/>
    </row>
    <row r="9" spans="1:10" x14ac:dyDescent="0.25">
      <c r="A9" s="1"/>
      <c r="B9" s="1"/>
      <c r="C9" s="50"/>
      <c r="D9" s="1"/>
      <c r="E9" s="167"/>
      <c r="I9" s="12"/>
    </row>
    <row r="10" spans="1:10" x14ac:dyDescent="0.25">
      <c r="A10" s="1"/>
      <c r="B10" s="1"/>
      <c r="C10" s="50"/>
      <c r="D10" s="50"/>
      <c r="E10" s="167"/>
      <c r="I10" s="12"/>
    </row>
    <row r="11" spans="1:10" x14ac:dyDescent="0.25">
      <c r="A11" s="1"/>
      <c r="B11" s="1" t="s">
        <v>56</v>
      </c>
      <c r="C11" s="50">
        <f>SUM(C7:C10)</f>
        <v>0</v>
      </c>
      <c r="D11" s="50">
        <f t="shared" ref="D11:J11" si="0">SUM(D7:D10)</f>
        <v>0</v>
      </c>
      <c r="E11" s="50">
        <f t="shared" si="0"/>
        <v>0</v>
      </c>
      <c r="F11" s="172">
        <f t="shared" si="0"/>
        <v>0</v>
      </c>
      <c r="G11" s="172">
        <f t="shared" si="0"/>
        <v>0</v>
      </c>
      <c r="H11" s="172">
        <f t="shared" si="0"/>
        <v>0</v>
      </c>
      <c r="I11" s="172">
        <f t="shared" si="0"/>
        <v>0</v>
      </c>
      <c r="J11" s="172">
        <f t="shared" si="0"/>
        <v>0</v>
      </c>
    </row>
    <row r="12" spans="1:10" x14ac:dyDescent="0.25">
      <c r="A12" s="1"/>
      <c r="B12" s="1"/>
      <c r="C12" s="1"/>
      <c r="D12" s="1"/>
      <c r="E12" s="1"/>
    </row>
  </sheetData>
  <mergeCells count="5">
    <mergeCell ref="A5:A6"/>
    <mergeCell ref="C5:E5"/>
    <mergeCell ref="F5:H5"/>
    <mergeCell ref="I5:I6"/>
    <mergeCell ref="A3:E3"/>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57"/>
  <sheetViews>
    <sheetView topLeftCell="A29" workbookViewId="0">
      <selection activeCell="J53" sqref="J53"/>
    </sheetView>
  </sheetViews>
  <sheetFormatPr defaultRowHeight="15" x14ac:dyDescent="0.25"/>
  <cols>
    <col min="1" max="1" width="4.5703125" customWidth="1"/>
    <col min="2" max="2" width="36.140625" customWidth="1"/>
    <col min="3" max="3" width="16.85546875" customWidth="1"/>
    <col min="4" max="4" width="15.85546875" customWidth="1"/>
    <col min="5" max="5" width="11.5703125" customWidth="1"/>
    <col min="6" max="6" width="14.7109375" customWidth="1"/>
    <col min="7" max="7" width="30.28515625" customWidth="1"/>
    <col min="8" max="8" width="23.7109375" customWidth="1"/>
    <col min="9" max="9" width="11.42578125" customWidth="1"/>
  </cols>
  <sheetData>
    <row r="1" spans="1:7" x14ac:dyDescent="0.25">
      <c r="C1" s="87"/>
      <c r="D1" s="87"/>
      <c r="E1" s="87"/>
      <c r="F1" s="87"/>
    </row>
    <row r="3" spans="1:7" x14ac:dyDescent="0.25">
      <c r="B3" s="96"/>
      <c r="C3" s="87"/>
      <c r="D3" s="87"/>
      <c r="E3" s="87"/>
      <c r="F3" s="87"/>
    </row>
    <row r="4" spans="1:7" x14ac:dyDescent="0.25">
      <c r="B4" s="85" t="s">
        <v>318</v>
      </c>
      <c r="C4" s="87"/>
      <c r="D4" s="87"/>
      <c r="E4" s="87"/>
      <c r="F4" s="87"/>
    </row>
    <row r="5" spans="1:7" x14ac:dyDescent="0.25">
      <c r="C5" s="87"/>
      <c r="D5" s="87"/>
      <c r="E5" s="87"/>
      <c r="F5" s="87"/>
    </row>
    <row r="6" spans="1:7" x14ac:dyDescent="0.25">
      <c r="A6" s="101"/>
      <c r="B6" s="101"/>
      <c r="C6" s="87"/>
      <c r="D6" s="87"/>
      <c r="E6" s="87"/>
      <c r="F6" s="87"/>
    </row>
    <row r="7" spans="1:7" s="103" customFormat="1" ht="18.75" customHeight="1" x14ac:dyDescent="0.25">
      <c r="A7" s="309" t="s">
        <v>498</v>
      </c>
      <c r="B7" s="310"/>
      <c r="C7" s="310"/>
      <c r="D7" s="310"/>
      <c r="E7" s="310"/>
      <c r="F7" s="310"/>
      <c r="G7"/>
    </row>
    <row r="8" spans="1:7" ht="49.5" customHeight="1" x14ac:dyDescent="0.25">
      <c r="A8" s="104" t="s">
        <v>319</v>
      </c>
      <c r="B8" s="105" t="s">
        <v>336</v>
      </c>
      <c r="C8" s="98" t="s">
        <v>488</v>
      </c>
      <c r="D8" s="107" t="s">
        <v>372</v>
      </c>
      <c r="E8" s="107" t="s">
        <v>338</v>
      </c>
      <c r="F8" s="187" t="s">
        <v>373</v>
      </c>
    </row>
    <row r="9" spans="1:7" ht="27" customHeight="1" x14ac:dyDescent="0.25">
      <c r="A9" s="1"/>
      <c r="B9" s="74" t="s">
        <v>296</v>
      </c>
      <c r="C9" s="108">
        <f>+C10+C11</f>
        <v>755000</v>
      </c>
      <c r="D9" s="108">
        <f t="shared" ref="D9:E9" si="0">+D10+D11</f>
        <v>0</v>
      </c>
      <c r="E9" s="108">
        <f t="shared" si="0"/>
        <v>63000</v>
      </c>
      <c r="F9" s="50">
        <f>+C9+D9+E9</f>
        <v>818000</v>
      </c>
    </row>
    <row r="10" spans="1:7" x14ac:dyDescent="0.25">
      <c r="A10" s="1"/>
      <c r="B10" s="1" t="s">
        <v>297</v>
      </c>
      <c r="C10" s="108">
        <f>755000-80102</f>
        <v>674898</v>
      </c>
      <c r="D10" s="50"/>
      <c r="E10" s="50">
        <v>63000</v>
      </c>
      <c r="F10" s="50">
        <f t="shared" ref="F10:F36" si="1">+C10+D10+E10</f>
        <v>737898</v>
      </c>
    </row>
    <row r="11" spans="1:7" x14ac:dyDescent="0.25">
      <c r="A11" s="1"/>
      <c r="B11" s="1" t="s">
        <v>298</v>
      </c>
      <c r="C11" s="108">
        <v>80102</v>
      </c>
      <c r="D11" s="50"/>
      <c r="E11" s="50"/>
      <c r="F11" s="50">
        <f t="shared" si="1"/>
        <v>80102</v>
      </c>
    </row>
    <row r="12" spans="1:7" x14ac:dyDescent="0.25">
      <c r="A12" s="1">
        <v>2</v>
      </c>
      <c r="B12" s="74" t="s">
        <v>299</v>
      </c>
      <c r="C12" s="108">
        <v>111561</v>
      </c>
      <c r="D12" s="50"/>
      <c r="E12" s="50">
        <v>10500</v>
      </c>
      <c r="F12" s="50">
        <f t="shared" si="1"/>
        <v>122061</v>
      </c>
    </row>
    <row r="13" spans="1:7" x14ac:dyDescent="0.25">
      <c r="A13" s="1">
        <v>3</v>
      </c>
      <c r="B13" s="74" t="s">
        <v>300</v>
      </c>
      <c r="C13" s="108">
        <v>115000</v>
      </c>
      <c r="D13" s="50"/>
      <c r="E13" s="50">
        <v>45000</v>
      </c>
      <c r="F13" s="50">
        <f t="shared" si="1"/>
        <v>160000</v>
      </c>
    </row>
    <row r="14" spans="1:7" x14ac:dyDescent="0.25">
      <c r="A14" s="1">
        <v>4</v>
      </c>
      <c r="B14" s="74" t="s">
        <v>301</v>
      </c>
      <c r="C14" s="108"/>
      <c r="D14" s="50"/>
      <c r="E14" s="50"/>
      <c r="F14" s="50">
        <f t="shared" si="1"/>
        <v>0</v>
      </c>
    </row>
    <row r="15" spans="1:7" x14ac:dyDescent="0.25">
      <c r="A15" s="1">
        <v>5</v>
      </c>
      <c r="B15" s="74" t="s">
        <v>302</v>
      </c>
      <c r="C15" s="108">
        <v>500</v>
      </c>
      <c r="D15" s="50"/>
      <c r="E15" s="50">
        <v>2100</v>
      </c>
      <c r="F15" s="50">
        <f t="shared" si="1"/>
        <v>2600</v>
      </c>
    </row>
    <row r="16" spans="1:7" x14ac:dyDescent="0.25">
      <c r="A16" s="1">
        <v>6</v>
      </c>
      <c r="B16" s="74" t="s">
        <v>303</v>
      </c>
      <c r="C16" s="108">
        <v>67500</v>
      </c>
      <c r="D16" s="50"/>
      <c r="E16" s="50"/>
      <c r="F16" s="50">
        <f t="shared" si="1"/>
        <v>67500</v>
      </c>
    </row>
    <row r="17" spans="1:6" x14ac:dyDescent="0.25">
      <c r="A17" s="74">
        <v>7</v>
      </c>
      <c r="B17" s="74" t="s">
        <v>339</v>
      </c>
      <c r="C17" s="108">
        <f>+C18+C19</f>
        <v>3668</v>
      </c>
      <c r="D17" s="108">
        <f t="shared" ref="D17:E17" si="2">+D18+D19</f>
        <v>0</v>
      </c>
      <c r="E17" s="108">
        <f t="shared" si="2"/>
        <v>5000</v>
      </c>
      <c r="F17" s="50">
        <f t="shared" si="1"/>
        <v>8668</v>
      </c>
    </row>
    <row r="18" spans="1:6" x14ac:dyDescent="0.25">
      <c r="A18" s="1"/>
      <c r="B18" s="1" t="s">
        <v>374</v>
      </c>
      <c r="C18" s="108">
        <v>2000</v>
      </c>
      <c r="D18" s="50"/>
      <c r="E18" s="50">
        <v>5000</v>
      </c>
      <c r="F18" s="50">
        <f t="shared" si="1"/>
        <v>7000</v>
      </c>
    </row>
    <row r="19" spans="1:6" x14ac:dyDescent="0.25">
      <c r="A19" s="1"/>
      <c r="B19" s="1" t="s">
        <v>375</v>
      </c>
      <c r="C19" s="108">
        <v>1668</v>
      </c>
      <c r="D19" s="50"/>
      <c r="E19" s="50"/>
      <c r="F19" s="50">
        <f t="shared" si="1"/>
        <v>1668</v>
      </c>
    </row>
    <row r="20" spans="1:6" x14ac:dyDescent="0.25">
      <c r="A20" s="1">
        <v>8</v>
      </c>
      <c r="B20" s="74" t="s">
        <v>304</v>
      </c>
      <c r="C20" s="108">
        <f>+C21+C24</f>
        <v>113693</v>
      </c>
      <c r="D20" s="108">
        <f t="shared" ref="D20:E20" si="3">+D21+D24</f>
        <v>0</v>
      </c>
      <c r="E20" s="108">
        <f t="shared" si="3"/>
        <v>21099</v>
      </c>
      <c r="F20" s="50">
        <f t="shared" si="1"/>
        <v>134792</v>
      </c>
    </row>
    <row r="21" spans="1:6" x14ac:dyDescent="0.25">
      <c r="A21" s="1" t="s">
        <v>340</v>
      </c>
      <c r="B21" s="74" t="s">
        <v>341</v>
      </c>
      <c r="C21" s="108">
        <f>+C22+C23</f>
        <v>0</v>
      </c>
      <c r="D21" s="108"/>
      <c r="E21" s="108">
        <f t="shared" ref="E21" si="4">+E22+E23</f>
        <v>12000</v>
      </c>
      <c r="F21" s="50">
        <f t="shared" si="1"/>
        <v>12000</v>
      </c>
    </row>
    <row r="22" spans="1:6" x14ac:dyDescent="0.25">
      <c r="A22" s="1"/>
      <c r="B22" s="1" t="s">
        <v>306</v>
      </c>
      <c r="C22" s="108"/>
      <c r="D22" s="50"/>
      <c r="E22" s="50">
        <v>12000</v>
      </c>
      <c r="F22" s="50">
        <f t="shared" si="1"/>
        <v>12000</v>
      </c>
    </row>
    <row r="23" spans="1:6" x14ac:dyDescent="0.25">
      <c r="A23" s="1"/>
      <c r="B23" s="1" t="s">
        <v>307</v>
      </c>
      <c r="C23" s="108"/>
      <c r="D23" s="50"/>
      <c r="E23" s="50"/>
      <c r="F23" s="50">
        <f t="shared" si="1"/>
        <v>0</v>
      </c>
    </row>
    <row r="24" spans="1:6" x14ac:dyDescent="0.25">
      <c r="A24" s="1" t="s">
        <v>342</v>
      </c>
      <c r="B24" s="74" t="s">
        <v>343</v>
      </c>
      <c r="C24" s="108">
        <f>+C25+C26+C27+C28+C29+C30+C31+C32</f>
        <v>113693</v>
      </c>
      <c r="D24" s="108">
        <f t="shared" ref="D24:E24" si="5">+D25+D26+D27+D28+D29+D30+D31+D32</f>
        <v>0</v>
      </c>
      <c r="E24" s="108">
        <f t="shared" si="5"/>
        <v>9099</v>
      </c>
      <c r="F24" s="108">
        <f t="shared" ref="F24" si="6">+F25+F26+F27+F28+F29+F30+F31+F32</f>
        <v>122792</v>
      </c>
    </row>
    <row r="25" spans="1:6" x14ac:dyDescent="0.25">
      <c r="A25" s="1"/>
      <c r="B25" s="1" t="s">
        <v>309</v>
      </c>
      <c r="C25" s="108">
        <f>132000-60000</f>
        <v>72000</v>
      </c>
      <c r="D25" s="108"/>
      <c r="E25" s="108"/>
      <c r="F25" s="50">
        <f t="shared" si="1"/>
        <v>72000</v>
      </c>
    </row>
    <row r="26" spans="1:6" x14ac:dyDescent="0.25">
      <c r="A26" s="1"/>
      <c r="B26" s="1" t="s">
        <v>310</v>
      </c>
      <c r="C26" s="108"/>
      <c r="D26" s="108"/>
      <c r="E26" s="108"/>
      <c r="F26" s="50">
        <f t="shared" si="1"/>
        <v>0</v>
      </c>
    </row>
    <row r="27" spans="1:6" x14ac:dyDescent="0.25">
      <c r="A27" s="1"/>
      <c r="B27" s="1" t="s">
        <v>311</v>
      </c>
      <c r="C27" s="108"/>
      <c r="D27" s="108"/>
      <c r="E27" s="108"/>
      <c r="F27" s="50">
        <f t="shared" si="1"/>
        <v>0</v>
      </c>
    </row>
    <row r="28" spans="1:6" x14ac:dyDescent="0.25">
      <c r="A28" s="1"/>
      <c r="B28" s="1" t="s">
        <v>312</v>
      </c>
      <c r="C28" s="108"/>
      <c r="D28" s="108"/>
      <c r="E28" s="108"/>
      <c r="F28" s="50">
        <f t="shared" si="1"/>
        <v>0</v>
      </c>
    </row>
    <row r="29" spans="1:6" x14ac:dyDescent="0.25">
      <c r="A29" s="1"/>
      <c r="B29" s="1" t="s">
        <v>344</v>
      </c>
      <c r="C29" s="108"/>
      <c r="D29" s="108"/>
      <c r="E29" s="108"/>
      <c r="F29" s="50">
        <f t="shared" si="1"/>
        <v>0</v>
      </c>
    </row>
    <row r="30" spans="1:6" x14ac:dyDescent="0.25">
      <c r="A30" s="1"/>
      <c r="B30" s="1" t="s">
        <v>314</v>
      </c>
      <c r="C30" s="50">
        <f>170520-132000</f>
        <v>38520</v>
      </c>
      <c r="D30" s="50"/>
      <c r="E30" s="50">
        <f>9092-1502</f>
        <v>7590</v>
      </c>
      <c r="F30" s="50">
        <f t="shared" si="1"/>
        <v>46110</v>
      </c>
    </row>
    <row r="31" spans="1:6" x14ac:dyDescent="0.25">
      <c r="A31" s="1"/>
      <c r="B31" s="1" t="s">
        <v>315</v>
      </c>
      <c r="C31" s="50"/>
      <c r="D31" s="50"/>
      <c r="E31" s="50"/>
      <c r="F31" s="50">
        <f t="shared" si="1"/>
        <v>0</v>
      </c>
    </row>
    <row r="32" spans="1:6" x14ac:dyDescent="0.25">
      <c r="A32" s="1"/>
      <c r="B32" s="1" t="s">
        <v>328</v>
      </c>
      <c r="C32" s="50">
        <v>3173</v>
      </c>
      <c r="D32" s="50"/>
      <c r="E32" s="50">
        <f>746+763</f>
        <v>1509</v>
      </c>
      <c r="F32" s="50">
        <f t="shared" si="1"/>
        <v>4682</v>
      </c>
    </row>
    <row r="33" spans="1:8" x14ac:dyDescent="0.25">
      <c r="A33" s="74">
        <v>9</v>
      </c>
      <c r="B33" s="74" t="s">
        <v>345</v>
      </c>
      <c r="C33" s="50">
        <f>+C34+C35+C36</f>
        <v>0</v>
      </c>
      <c r="D33" s="50">
        <f t="shared" ref="D33:E33" si="7">+D34+D35+D36</f>
        <v>39000</v>
      </c>
      <c r="E33" s="50">
        <f t="shared" si="7"/>
        <v>0</v>
      </c>
      <c r="F33" s="50">
        <f t="shared" si="1"/>
        <v>39000</v>
      </c>
    </row>
    <row r="34" spans="1:8" x14ac:dyDescent="0.25">
      <c r="A34" s="1"/>
      <c r="B34" s="1" t="s">
        <v>316</v>
      </c>
      <c r="C34" s="50"/>
      <c r="D34" s="50">
        <v>35000</v>
      </c>
      <c r="E34" s="50"/>
      <c r="F34" s="50">
        <f t="shared" si="1"/>
        <v>35000</v>
      </c>
    </row>
    <row r="35" spans="1:8" x14ac:dyDescent="0.25">
      <c r="A35" s="1"/>
      <c r="B35" s="1" t="s">
        <v>346</v>
      </c>
      <c r="C35" s="50"/>
      <c r="D35" s="50">
        <v>4000</v>
      </c>
      <c r="E35" s="50"/>
      <c r="F35" s="50">
        <f t="shared" si="1"/>
        <v>4000</v>
      </c>
    </row>
    <row r="36" spans="1:8" x14ac:dyDescent="0.25">
      <c r="A36" s="1"/>
      <c r="B36" s="1" t="s">
        <v>317</v>
      </c>
      <c r="C36" s="50"/>
      <c r="D36" s="50"/>
      <c r="E36" s="50"/>
      <c r="F36" s="50">
        <f t="shared" si="1"/>
        <v>0</v>
      </c>
    </row>
    <row r="37" spans="1:8" ht="36.75" customHeight="1" x14ac:dyDescent="0.25">
      <c r="A37" s="144"/>
      <c r="B37" s="145" t="s">
        <v>22</v>
      </c>
      <c r="C37" s="146">
        <f>+C33+C20+C17+C16+C15+C14+C13+C12+C9</f>
        <v>1166922</v>
      </c>
      <c r="D37" s="146">
        <f t="shared" ref="D37:F37" si="8">+D33+D20+D17+D16+D15+D14+D13+D12+D9</f>
        <v>39000</v>
      </c>
      <c r="E37" s="146">
        <f t="shared" si="8"/>
        <v>146699</v>
      </c>
      <c r="F37" s="146">
        <f t="shared" si="8"/>
        <v>1352621</v>
      </c>
    </row>
    <row r="38" spans="1:8" x14ac:dyDescent="0.25">
      <c r="C38" s="87"/>
      <c r="D38" s="87"/>
      <c r="E38" s="87"/>
      <c r="F38" s="87"/>
    </row>
    <row r="39" spans="1:8" x14ac:dyDescent="0.25">
      <c r="F39" s="115"/>
    </row>
    <row r="41" spans="1:8" x14ac:dyDescent="0.25">
      <c r="B41" s="292" t="s">
        <v>347</v>
      </c>
      <c r="C41" s="292"/>
      <c r="D41" s="292"/>
      <c r="E41" s="87"/>
      <c r="F41" s="87"/>
    </row>
    <row r="42" spans="1:8" ht="46.5" customHeight="1" x14ac:dyDescent="0.25">
      <c r="A42" s="1" t="s">
        <v>319</v>
      </c>
      <c r="B42" s="97" t="s">
        <v>320</v>
      </c>
      <c r="C42" s="98" t="s">
        <v>321</v>
      </c>
      <c r="D42" s="171" t="s">
        <v>497</v>
      </c>
      <c r="E42" s="174" t="s">
        <v>455</v>
      </c>
      <c r="F42" s="87"/>
    </row>
    <row r="43" spans="1:8" s="76" customFormat="1" x14ac:dyDescent="0.25">
      <c r="A43" s="99">
        <v>1</v>
      </c>
      <c r="B43" s="74" t="s">
        <v>323</v>
      </c>
      <c r="C43" s="100">
        <f>SUM(C44:C48)</f>
        <v>81167</v>
      </c>
      <c r="D43" s="100">
        <f t="shared" ref="D43:E43" si="9">SUM(D44:D48)</f>
        <v>1291386</v>
      </c>
      <c r="E43" s="100">
        <f t="shared" si="9"/>
        <v>1372553</v>
      </c>
      <c r="F43" s="86"/>
      <c r="H43"/>
    </row>
    <row r="44" spans="1:8" x14ac:dyDescent="0.25">
      <c r="A44" s="90">
        <v>1.1000000000000001</v>
      </c>
      <c r="B44" s="1" t="s">
        <v>324</v>
      </c>
      <c r="C44" s="50">
        <f>14398+6+56180</f>
        <v>70584</v>
      </c>
      <c r="D44" s="50">
        <v>1037696</v>
      </c>
      <c r="E44" s="100">
        <f t="shared" ref="E44:E55" si="10">+C44+D44</f>
        <v>1108280</v>
      </c>
      <c r="F44" s="87"/>
    </row>
    <row r="45" spans="1:8" x14ac:dyDescent="0.25">
      <c r="A45" s="90">
        <v>1.2</v>
      </c>
      <c r="B45" s="1" t="s">
        <v>325</v>
      </c>
      <c r="C45" s="50">
        <v>7126</v>
      </c>
      <c r="D45" s="50">
        <v>72720</v>
      </c>
      <c r="E45" s="100">
        <f t="shared" si="10"/>
        <v>79846</v>
      </c>
      <c r="F45" s="87"/>
    </row>
    <row r="46" spans="1:8" x14ac:dyDescent="0.25">
      <c r="A46" s="90">
        <v>1.3</v>
      </c>
      <c r="B46" s="1" t="s">
        <v>326</v>
      </c>
      <c r="C46" s="50">
        <v>0</v>
      </c>
      <c r="D46" s="50">
        <v>170521</v>
      </c>
      <c r="E46" s="100">
        <f t="shared" si="10"/>
        <v>170521</v>
      </c>
      <c r="F46" s="87"/>
    </row>
    <row r="47" spans="1:8" x14ac:dyDescent="0.25">
      <c r="A47" s="90">
        <v>1.4</v>
      </c>
      <c r="B47" s="1" t="s">
        <v>327</v>
      </c>
      <c r="C47" s="50">
        <v>3457</v>
      </c>
      <c r="D47" s="50">
        <v>7275</v>
      </c>
      <c r="E47" s="100">
        <f t="shared" si="10"/>
        <v>10732</v>
      </c>
      <c r="F47" s="87"/>
    </row>
    <row r="48" spans="1:8" x14ac:dyDescent="0.25">
      <c r="A48" s="90">
        <v>1.5</v>
      </c>
      <c r="B48" s="1" t="s">
        <v>328</v>
      </c>
      <c r="C48" s="50"/>
      <c r="D48" s="50">
        <v>3174</v>
      </c>
      <c r="E48" s="100">
        <f t="shared" si="10"/>
        <v>3174</v>
      </c>
      <c r="F48" s="87"/>
    </row>
    <row r="49" spans="1:8" s="76" customFormat="1" ht="30" x14ac:dyDescent="0.25">
      <c r="A49" s="99">
        <v>2</v>
      </c>
      <c r="B49" s="171" t="s">
        <v>329</v>
      </c>
      <c r="C49" s="100">
        <f>SUM(C50:C51)</f>
        <v>22176</v>
      </c>
      <c r="D49" s="100">
        <f t="shared" ref="D49:E49" si="11">SUM(D50:D51)</f>
        <v>77408</v>
      </c>
      <c r="E49" s="100">
        <f t="shared" si="11"/>
        <v>99584</v>
      </c>
      <c r="F49" s="86"/>
      <c r="H49"/>
    </row>
    <row r="50" spans="1:8" x14ac:dyDescent="0.25">
      <c r="A50" s="90">
        <v>2.1</v>
      </c>
      <c r="B50" s="1" t="s">
        <v>278</v>
      </c>
      <c r="C50" s="50">
        <v>22176</v>
      </c>
      <c r="D50" s="50">
        <v>73408</v>
      </c>
      <c r="E50" s="100">
        <f t="shared" si="10"/>
        <v>95584</v>
      </c>
      <c r="F50" s="87"/>
    </row>
    <row r="51" spans="1:8" x14ac:dyDescent="0.25">
      <c r="A51" s="90">
        <v>2.2000000000000002</v>
      </c>
      <c r="B51" s="1" t="s">
        <v>279</v>
      </c>
      <c r="C51" s="50">
        <v>0</v>
      </c>
      <c r="D51" s="50">
        <v>4000</v>
      </c>
      <c r="E51" s="100">
        <f t="shared" si="10"/>
        <v>4000</v>
      </c>
      <c r="F51" s="87"/>
    </row>
    <row r="52" spans="1:8" s="76" customFormat="1" ht="30" x14ac:dyDescent="0.25">
      <c r="A52" s="99">
        <v>3</v>
      </c>
      <c r="B52" s="171" t="s">
        <v>331</v>
      </c>
      <c r="C52" s="100">
        <f>SUM(C53:C55)</f>
        <v>144958</v>
      </c>
      <c r="D52" s="100">
        <f t="shared" ref="D52:E52" si="12">SUM(D53:D55)</f>
        <v>85000</v>
      </c>
      <c r="E52" s="100">
        <f t="shared" si="12"/>
        <v>229958</v>
      </c>
      <c r="F52" s="86"/>
      <c r="H52"/>
    </row>
    <row r="53" spans="1:8" x14ac:dyDescent="0.25">
      <c r="A53" s="90">
        <v>3.1</v>
      </c>
      <c r="B53" s="1" t="s">
        <v>332</v>
      </c>
      <c r="C53" s="50">
        <f>56727+2006</f>
        <v>58733</v>
      </c>
      <c r="D53" s="50">
        <v>80000</v>
      </c>
      <c r="E53" s="100">
        <f t="shared" si="10"/>
        <v>138733</v>
      </c>
      <c r="F53" s="87"/>
    </row>
    <row r="54" spans="1:8" x14ac:dyDescent="0.25">
      <c r="A54" s="90">
        <v>3.2</v>
      </c>
      <c r="B54" s="1" t="s">
        <v>333</v>
      </c>
      <c r="C54" s="50">
        <v>79438</v>
      </c>
      <c r="D54" s="50"/>
      <c r="E54" s="100">
        <f t="shared" si="10"/>
        <v>79438</v>
      </c>
      <c r="F54" s="87"/>
    </row>
    <row r="55" spans="1:8" x14ac:dyDescent="0.25">
      <c r="A55" s="90">
        <v>3.3</v>
      </c>
      <c r="B55" s="1" t="s">
        <v>334</v>
      </c>
      <c r="C55" s="50">
        <v>6787</v>
      </c>
      <c r="D55" s="50">
        <v>5000</v>
      </c>
      <c r="E55" s="100">
        <f t="shared" si="10"/>
        <v>11787</v>
      </c>
      <c r="F55" s="87"/>
    </row>
    <row r="56" spans="1:8" x14ac:dyDescent="0.25">
      <c r="A56" s="293" t="s">
        <v>22</v>
      </c>
      <c r="B56" s="294"/>
      <c r="C56" s="100">
        <f>+C52+C49+C43</f>
        <v>248301</v>
      </c>
      <c r="D56" s="100">
        <f t="shared" ref="D56:E56" si="13">+D52+D49+D43</f>
        <v>1453794</v>
      </c>
      <c r="E56" s="100">
        <f t="shared" si="13"/>
        <v>1702095</v>
      </c>
      <c r="F56" s="87"/>
    </row>
    <row r="57" spans="1:8" x14ac:dyDescent="0.25">
      <c r="A57" s="101"/>
      <c r="B57" s="101"/>
      <c r="C57" s="87"/>
      <c r="D57" s="87"/>
      <c r="E57" s="87"/>
      <c r="F57" s="87"/>
    </row>
  </sheetData>
  <mergeCells count="3">
    <mergeCell ref="B41:D41"/>
    <mergeCell ref="A56:B56"/>
    <mergeCell ref="A7:F7"/>
  </mergeCells>
  <pageMargins left="0.25" right="0.25" top="0.75" bottom="0.75" header="0.3" footer="0.3"/>
  <pageSetup orientation="portrait"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M326"/>
  <sheetViews>
    <sheetView workbookViewId="0">
      <selection activeCell="B5" sqref="B5:B6"/>
    </sheetView>
  </sheetViews>
  <sheetFormatPr defaultRowHeight="15" x14ac:dyDescent="0.25"/>
  <cols>
    <col min="1" max="1" width="4.7109375" customWidth="1"/>
    <col min="2" max="2" width="13.85546875" style="189" bestFit="1" customWidth="1"/>
    <col min="3" max="3" width="19.85546875" style="202" customWidth="1"/>
    <col min="4" max="4" width="19.7109375" customWidth="1"/>
    <col min="5" max="5" width="12.28515625" customWidth="1"/>
    <col min="6" max="6" width="10.85546875" customWidth="1"/>
    <col min="7" max="7" width="12.140625" customWidth="1"/>
  </cols>
  <sheetData>
    <row r="2" spans="1:13" ht="18.75" customHeight="1" x14ac:dyDescent="0.3">
      <c r="A2" s="311" t="s">
        <v>499</v>
      </c>
      <c r="B2" s="311"/>
      <c r="C2" s="311"/>
      <c r="D2" s="311"/>
      <c r="E2" s="311"/>
      <c r="F2" s="311"/>
      <c r="G2" s="311"/>
      <c r="H2" s="13"/>
      <c r="I2" s="13"/>
      <c r="J2" s="13"/>
      <c r="K2" s="13"/>
      <c r="L2" s="13"/>
      <c r="M2" s="13"/>
    </row>
    <row r="4" spans="1:13" ht="11.25" customHeight="1" thickBot="1" x14ac:dyDescent="0.3"/>
    <row r="5" spans="1:13" ht="40.5" customHeight="1" x14ac:dyDescent="0.25">
      <c r="A5" s="314" t="s">
        <v>59</v>
      </c>
      <c r="B5" s="320" t="s">
        <v>181</v>
      </c>
      <c r="C5" s="316" t="s">
        <v>24</v>
      </c>
      <c r="D5" s="316" t="s">
        <v>60</v>
      </c>
      <c r="E5" s="318" t="s">
        <v>61</v>
      </c>
      <c r="F5" s="312" t="s">
        <v>500</v>
      </c>
      <c r="G5" s="313"/>
    </row>
    <row r="6" spans="1:13" ht="54.75" customHeight="1" x14ac:dyDescent="0.25">
      <c r="A6" s="315"/>
      <c r="B6" s="321"/>
      <c r="C6" s="317"/>
      <c r="D6" s="317"/>
      <c r="E6" s="319"/>
      <c r="F6" s="204" t="s">
        <v>62</v>
      </c>
      <c r="G6" s="205" t="s">
        <v>63</v>
      </c>
    </row>
    <row r="7" spans="1:13" ht="27.75" customHeight="1" x14ac:dyDescent="0.25">
      <c r="A7" s="325">
        <v>1</v>
      </c>
      <c r="B7" s="322" t="s">
        <v>251</v>
      </c>
      <c r="C7" s="203" t="s">
        <v>174</v>
      </c>
      <c r="D7" s="45" t="s">
        <v>75</v>
      </c>
      <c r="E7" s="46">
        <v>180</v>
      </c>
      <c r="F7" s="47">
        <v>25000</v>
      </c>
      <c r="G7" s="48">
        <v>50000</v>
      </c>
    </row>
    <row r="8" spans="1:13" ht="27.75" customHeight="1" x14ac:dyDescent="0.25">
      <c r="A8" s="326"/>
      <c r="B8" s="323"/>
      <c r="C8" s="203" t="s">
        <v>175</v>
      </c>
      <c r="D8" s="45" t="s">
        <v>75</v>
      </c>
      <c r="E8" s="46">
        <v>180</v>
      </c>
      <c r="F8" s="47">
        <v>25000</v>
      </c>
      <c r="G8" s="48">
        <v>50000</v>
      </c>
    </row>
    <row r="9" spans="1:13" ht="27.75" customHeight="1" x14ac:dyDescent="0.25">
      <c r="A9" s="326"/>
      <c r="B9" s="323"/>
      <c r="C9" s="203" t="s">
        <v>163</v>
      </c>
      <c r="D9" s="45" t="s">
        <v>75</v>
      </c>
      <c r="E9" s="46">
        <v>180</v>
      </c>
      <c r="F9" s="47">
        <v>25000</v>
      </c>
      <c r="G9" s="48">
        <v>50000</v>
      </c>
    </row>
    <row r="10" spans="1:13" ht="27.75" customHeight="1" x14ac:dyDescent="0.25">
      <c r="A10" s="326"/>
      <c r="B10" s="323"/>
      <c r="C10" s="203" t="s">
        <v>176</v>
      </c>
      <c r="D10" s="45" t="s">
        <v>75</v>
      </c>
      <c r="E10" s="46">
        <v>180</v>
      </c>
      <c r="F10" s="47">
        <v>25000</v>
      </c>
      <c r="G10" s="48">
        <v>50000</v>
      </c>
    </row>
    <row r="11" spans="1:13" ht="27.75" customHeight="1" x14ac:dyDescent="0.25">
      <c r="A11" s="326"/>
      <c r="B11" s="323"/>
      <c r="C11" s="203" t="s">
        <v>177</v>
      </c>
      <c r="D11" s="45" t="s">
        <v>75</v>
      </c>
      <c r="E11" s="46">
        <v>180</v>
      </c>
      <c r="F11" s="47">
        <v>25000</v>
      </c>
      <c r="G11" s="48">
        <v>50000</v>
      </c>
    </row>
    <row r="12" spans="1:13" ht="27.75" customHeight="1" x14ac:dyDescent="0.25">
      <c r="A12" s="326"/>
      <c r="B12" s="323"/>
      <c r="C12" s="203" t="s">
        <v>178</v>
      </c>
      <c r="D12" s="45" t="s">
        <v>75</v>
      </c>
      <c r="E12" s="46">
        <v>180</v>
      </c>
      <c r="F12" s="47">
        <v>25000</v>
      </c>
      <c r="G12" s="48">
        <v>50000</v>
      </c>
    </row>
    <row r="13" spans="1:13" ht="30" x14ac:dyDescent="0.25">
      <c r="A13" s="326"/>
      <c r="B13" s="323"/>
      <c r="C13" s="203" t="s">
        <v>169</v>
      </c>
      <c r="D13" s="45" t="s">
        <v>180</v>
      </c>
      <c r="E13" s="46">
        <v>120</v>
      </c>
      <c r="F13" s="47">
        <v>25000</v>
      </c>
      <c r="G13" s="48">
        <v>50000</v>
      </c>
    </row>
    <row r="14" spans="1:13" ht="30" x14ac:dyDescent="0.25">
      <c r="A14" s="315"/>
      <c r="B14" s="324"/>
      <c r="C14" s="203" t="s">
        <v>179</v>
      </c>
      <c r="D14" s="45" t="s">
        <v>180</v>
      </c>
      <c r="E14" s="46">
        <v>120</v>
      </c>
      <c r="F14" s="47">
        <v>25000</v>
      </c>
      <c r="G14" s="48">
        <v>50000</v>
      </c>
    </row>
    <row r="15" spans="1:13" ht="27.75" customHeight="1" x14ac:dyDescent="0.25">
      <c r="A15" s="330">
        <v>2</v>
      </c>
      <c r="B15" s="327" t="s">
        <v>252</v>
      </c>
      <c r="C15" s="203" t="s">
        <v>182</v>
      </c>
      <c r="D15" s="45" t="s">
        <v>75</v>
      </c>
      <c r="E15" s="46">
        <v>180</v>
      </c>
      <c r="F15" s="47">
        <v>25000</v>
      </c>
      <c r="G15" s="48">
        <v>50000</v>
      </c>
    </row>
    <row r="16" spans="1:13" ht="27.75" customHeight="1" x14ac:dyDescent="0.25">
      <c r="A16" s="331"/>
      <c r="B16" s="328"/>
      <c r="C16" s="203" t="s">
        <v>142</v>
      </c>
      <c r="D16" s="45" t="s">
        <v>75</v>
      </c>
      <c r="E16" s="46">
        <v>180</v>
      </c>
      <c r="F16" s="47">
        <v>25000</v>
      </c>
      <c r="G16" s="48">
        <v>50000</v>
      </c>
    </row>
    <row r="17" spans="1:7" ht="27.75" customHeight="1" x14ac:dyDescent="0.25">
      <c r="A17" s="331"/>
      <c r="B17" s="328"/>
      <c r="C17" s="203" t="s">
        <v>141</v>
      </c>
      <c r="D17" s="45" t="s">
        <v>75</v>
      </c>
      <c r="E17" s="46">
        <v>180</v>
      </c>
      <c r="F17" s="47">
        <v>25000</v>
      </c>
      <c r="G17" s="48">
        <v>50000</v>
      </c>
    </row>
    <row r="18" spans="1:7" ht="30" x14ac:dyDescent="0.25">
      <c r="A18" s="331"/>
      <c r="B18" s="328"/>
      <c r="C18" s="203" t="s">
        <v>183</v>
      </c>
      <c r="D18" s="45" t="s">
        <v>180</v>
      </c>
      <c r="E18" s="46">
        <v>120</v>
      </c>
      <c r="F18" s="47">
        <v>25000</v>
      </c>
      <c r="G18" s="48">
        <v>50000</v>
      </c>
    </row>
    <row r="19" spans="1:7" ht="27.75" customHeight="1" x14ac:dyDescent="0.25">
      <c r="A19" s="331"/>
      <c r="B19" s="328"/>
      <c r="C19" s="203" t="s">
        <v>184</v>
      </c>
      <c r="D19" s="45" t="s">
        <v>75</v>
      </c>
      <c r="E19" s="46">
        <v>180</v>
      </c>
      <c r="F19" s="47">
        <v>25000</v>
      </c>
      <c r="G19" s="48">
        <v>50000</v>
      </c>
    </row>
    <row r="20" spans="1:7" ht="30" x14ac:dyDescent="0.25">
      <c r="A20" s="331"/>
      <c r="B20" s="328"/>
      <c r="C20" s="203" t="s">
        <v>153</v>
      </c>
      <c r="D20" s="45" t="s">
        <v>180</v>
      </c>
      <c r="E20" s="46">
        <v>120</v>
      </c>
      <c r="F20" s="47">
        <v>25000</v>
      </c>
      <c r="G20" s="48">
        <v>50000</v>
      </c>
    </row>
    <row r="21" spans="1:7" ht="30" x14ac:dyDescent="0.25">
      <c r="A21" s="331"/>
      <c r="B21" s="328"/>
      <c r="C21" s="203" t="s">
        <v>185</v>
      </c>
      <c r="D21" s="45" t="s">
        <v>180</v>
      </c>
      <c r="E21" s="46">
        <v>120</v>
      </c>
      <c r="F21" s="47">
        <v>25000</v>
      </c>
      <c r="G21" s="48">
        <v>50000</v>
      </c>
    </row>
    <row r="22" spans="1:7" ht="30" x14ac:dyDescent="0.25">
      <c r="A22" s="331"/>
      <c r="B22" s="328"/>
      <c r="C22" s="203" t="s">
        <v>186</v>
      </c>
      <c r="D22" s="45" t="s">
        <v>180</v>
      </c>
      <c r="E22" s="46">
        <v>120</v>
      </c>
      <c r="F22" s="47">
        <v>25000</v>
      </c>
      <c r="G22" s="48">
        <v>50000</v>
      </c>
    </row>
    <row r="23" spans="1:7" ht="30" x14ac:dyDescent="0.25">
      <c r="A23" s="331"/>
      <c r="B23" s="328"/>
      <c r="C23" s="203" t="s">
        <v>187</v>
      </c>
      <c r="D23" s="45" t="s">
        <v>180</v>
      </c>
      <c r="E23" s="46">
        <v>120</v>
      </c>
      <c r="F23" s="47">
        <v>25000</v>
      </c>
      <c r="G23" s="48">
        <v>50000</v>
      </c>
    </row>
    <row r="24" spans="1:7" ht="30" x14ac:dyDescent="0.25">
      <c r="A24" s="331"/>
      <c r="B24" s="328"/>
      <c r="C24" s="203" t="s">
        <v>188</v>
      </c>
      <c r="D24" s="45" t="s">
        <v>180</v>
      </c>
      <c r="E24" s="46">
        <v>120</v>
      </c>
      <c r="F24" s="47">
        <v>25000</v>
      </c>
      <c r="G24" s="48">
        <v>50000</v>
      </c>
    </row>
    <row r="25" spans="1:7" ht="30" x14ac:dyDescent="0.25">
      <c r="A25" s="331"/>
      <c r="B25" s="328"/>
      <c r="C25" s="203" t="s">
        <v>189</v>
      </c>
      <c r="D25" s="45" t="s">
        <v>180</v>
      </c>
      <c r="E25" s="46">
        <v>120</v>
      </c>
      <c r="F25" s="47">
        <v>25000</v>
      </c>
      <c r="G25" s="48">
        <v>50000</v>
      </c>
    </row>
    <row r="26" spans="1:7" ht="30" x14ac:dyDescent="0.25">
      <c r="A26" s="331"/>
      <c r="B26" s="328"/>
      <c r="C26" s="203" t="s">
        <v>190</v>
      </c>
      <c r="D26" s="45" t="s">
        <v>180</v>
      </c>
      <c r="E26" s="46">
        <v>120</v>
      </c>
      <c r="F26" s="47">
        <v>25000</v>
      </c>
      <c r="G26" s="48">
        <v>50000</v>
      </c>
    </row>
    <row r="27" spans="1:7" ht="30" x14ac:dyDescent="0.25">
      <c r="A27" s="331"/>
      <c r="B27" s="328"/>
      <c r="C27" s="203" t="s">
        <v>191</v>
      </c>
      <c r="D27" s="45" t="s">
        <v>180</v>
      </c>
      <c r="E27" s="46">
        <v>120</v>
      </c>
      <c r="F27" s="47">
        <v>25000</v>
      </c>
      <c r="G27" s="48">
        <v>50000</v>
      </c>
    </row>
    <row r="28" spans="1:7" ht="27.75" customHeight="1" x14ac:dyDescent="0.25">
      <c r="A28" s="331"/>
      <c r="B28" s="328"/>
      <c r="C28" s="203" t="s">
        <v>148</v>
      </c>
      <c r="D28" s="45" t="s">
        <v>180</v>
      </c>
      <c r="E28" s="46">
        <v>120</v>
      </c>
      <c r="F28" s="47">
        <v>25000</v>
      </c>
      <c r="G28" s="48">
        <v>50000</v>
      </c>
    </row>
    <row r="29" spans="1:7" ht="30" x14ac:dyDescent="0.25">
      <c r="A29" s="331"/>
      <c r="B29" s="328"/>
      <c r="C29" s="203" t="s">
        <v>147</v>
      </c>
      <c r="D29" s="45" t="s">
        <v>180</v>
      </c>
      <c r="E29" s="46">
        <v>120</v>
      </c>
      <c r="F29" s="47">
        <v>25000</v>
      </c>
      <c r="G29" s="48">
        <v>50000</v>
      </c>
    </row>
    <row r="30" spans="1:7" ht="30" x14ac:dyDescent="0.25">
      <c r="A30" s="331"/>
      <c r="B30" s="328"/>
      <c r="C30" s="203" t="s">
        <v>192</v>
      </c>
      <c r="D30" s="45" t="s">
        <v>180</v>
      </c>
      <c r="E30" s="46">
        <v>120</v>
      </c>
      <c r="F30" s="47">
        <v>25000</v>
      </c>
      <c r="G30" s="48">
        <v>50000</v>
      </c>
    </row>
    <row r="31" spans="1:7" ht="27.75" customHeight="1" x14ac:dyDescent="0.25">
      <c r="A31" s="331"/>
      <c r="B31" s="328"/>
      <c r="C31" s="203" t="s">
        <v>193</v>
      </c>
      <c r="D31" s="45" t="s">
        <v>75</v>
      </c>
      <c r="E31" s="46">
        <v>180</v>
      </c>
      <c r="F31" s="47">
        <v>25000</v>
      </c>
      <c r="G31" s="48">
        <v>50000</v>
      </c>
    </row>
    <row r="32" spans="1:7" ht="27.75" customHeight="1" x14ac:dyDescent="0.25">
      <c r="A32" s="331"/>
      <c r="B32" s="328"/>
      <c r="C32" s="203" t="s">
        <v>194</v>
      </c>
      <c r="D32" s="45" t="s">
        <v>75</v>
      </c>
      <c r="E32" s="46">
        <v>180</v>
      </c>
      <c r="F32" s="47">
        <v>25000</v>
      </c>
      <c r="G32" s="48">
        <v>50000</v>
      </c>
    </row>
    <row r="33" spans="1:7" ht="27.75" customHeight="1" x14ac:dyDescent="0.25">
      <c r="A33" s="332"/>
      <c r="B33" s="329"/>
      <c r="C33" s="203" t="s">
        <v>195</v>
      </c>
      <c r="D33" s="45" t="s">
        <v>75</v>
      </c>
      <c r="E33" s="46">
        <v>180</v>
      </c>
      <c r="F33" s="47">
        <v>25000</v>
      </c>
      <c r="G33" s="48">
        <v>50000</v>
      </c>
    </row>
    <row r="34" spans="1:7" ht="27.75" customHeight="1" x14ac:dyDescent="0.25">
      <c r="A34" s="330">
        <v>3</v>
      </c>
      <c r="B34" s="333" t="s">
        <v>253</v>
      </c>
      <c r="C34" s="203" t="s">
        <v>94</v>
      </c>
      <c r="D34" s="45" t="s">
        <v>75</v>
      </c>
      <c r="E34" s="46">
        <v>180</v>
      </c>
      <c r="F34" s="47">
        <v>25000</v>
      </c>
      <c r="G34" s="48">
        <v>50000</v>
      </c>
    </row>
    <row r="35" spans="1:7" ht="27.75" customHeight="1" x14ac:dyDescent="0.25">
      <c r="A35" s="331"/>
      <c r="B35" s="334"/>
      <c r="C35" s="203" t="s">
        <v>196</v>
      </c>
      <c r="D35" s="45" t="s">
        <v>75</v>
      </c>
      <c r="E35" s="46">
        <v>180</v>
      </c>
      <c r="F35" s="47">
        <v>25000</v>
      </c>
      <c r="G35" s="48">
        <v>50000</v>
      </c>
    </row>
    <row r="36" spans="1:7" ht="27.75" customHeight="1" x14ac:dyDescent="0.25">
      <c r="A36" s="331"/>
      <c r="B36" s="334"/>
      <c r="C36" s="203" t="s">
        <v>197</v>
      </c>
      <c r="D36" s="45" t="s">
        <v>75</v>
      </c>
      <c r="E36" s="46">
        <v>180</v>
      </c>
      <c r="F36" s="47">
        <v>25000</v>
      </c>
      <c r="G36" s="48">
        <v>50000</v>
      </c>
    </row>
    <row r="37" spans="1:7" ht="27.75" customHeight="1" x14ac:dyDescent="0.25">
      <c r="A37" s="331"/>
      <c r="B37" s="334"/>
      <c r="C37" s="203" t="s">
        <v>95</v>
      </c>
      <c r="D37" s="45" t="s">
        <v>75</v>
      </c>
      <c r="E37" s="46">
        <v>180</v>
      </c>
      <c r="F37" s="47">
        <v>25000</v>
      </c>
      <c r="G37" s="48">
        <v>50000</v>
      </c>
    </row>
    <row r="38" spans="1:7" ht="27.75" customHeight="1" x14ac:dyDescent="0.25">
      <c r="A38" s="332"/>
      <c r="B38" s="335"/>
      <c r="C38" s="203" t="s">
        <v>100</v>
      </c>
      <c r="D38" s="45" t="s">
        <v>75</v>
      </c>
      <c r="E38" s="46">
        <v>180</v>
      </c>
      <c r="F38" s="47">
        <v>25000</v>
      </c>
      <c r="G38" s="48">
        <v>50000</v>
      </c>
    </row>
    <row r="39" spans="1:7" ht="27.75" customHeight="1" x14ac:dyDescent="0.25">
      <c r="A39" s="330">
        <v>4</v>
      </c>
      <c r="B39" s="336" t="s">
        <v>239</v>
      </c>
      <c r="C39" s="203" t="s">
        <v>198</v>
      </c>
      <c r="D39" s="45" t="s">
        <v>75</v>
      </c>
      <c r="E39" s="46">
        <v>180</v>
      </c>
      <c r="F39" s="47">
        <v>25000</v>
      </c>
      <c r="G39" s="48">
        <v>50000</v>
      </c>
    </row>
    <row r="40" spans="1:7" ht="27.75" customHeight="1" x14ac:dyDescent="0.25">
      <c r="A40" s="331"/>
      <c r="B40" s="337"/>
      <c r="C40" s="203" t="s">
        <v>67</v>
      </c>
      <c r="D40" s="45" t="s">
        <v>75</v>
      </c>
      <c r="E40" s="46">
        <v>180</v>
      </c>
      <c r="F40" s="47">
        <v>25000</v>
      </c>
      <c r="G40" s="48">
        <v>50000</v>
      </c>
    </row>
    <row r="41" spans="1:7" ht="27.75" customHeight="1" x14ac:dyDescent="0.25">
      <c r="A41" s="331"/>
      <c r="B41" s="337"/>
      <c r="C41" s="203" t="s">
        <v>199</v>
      </c>
      <c r="D41" s="45" t="s">
        <v>75</v>
      </c>
      <c r="E41" s="46">
        <v>180</v>
      </c>
      <c r="F41" s="47">
        <v>25000</v>
      </c>
      <c r="G41" s="48">
        <v>50000</v>
      </c>
    </row>
    <row r="42" spans="1:7" ht="27.75" customHeight="1" x14ac:dyDescent="0.25">
      <c r="A42" s="331"/>
      <c r="B42" s="337"/>
      <c r="C42" s="203" t="s">
        <v>200</v>
      </c>
      <c r="D42" s="45" t="s">
        <v>75</v>
      </c>
      <c r="E42" s="46">
        <v>180</v>
      </c>
      <c r="F42" s="47">
        <v>25000</v>
      </c>
      <c r="G42" s="48">
        <v>50000</v>
      </c>
    </row>
    <row r="43" spans="1:7" ht="27.75" customHeight="1" x14ac:dyDescent="0.25">
      <c r="A43" s="331"/>
      <c r="B43" s="337"/>
      <c r="C43" s="203" t="s">
        <v>201</v>
      </c>
      <c r="D43" s="45" t="s">
        <v>75</v>
      </c>
      <c r="E43" s="46">
        <v>180</v>
      </c>
      <c r="F43" s="47">
        <v>25000</v>
      </c>
      <c r="G43" s="48">
        <v>50000</v>
      </c>
    </row>
    <row r="44" spans="1:7" ht="38.25" x14ac:dyDescent="0.25">
      <c r="A44" s="331"/>
      <c r="B44" s="337"/>
      <c r="C44" s="203" t="s">
        <v>202</v>
      </c>
      <c r="D44" s="45" t="s">
        <v>75</v>
      </c>
      <c r="E44" s="46">
        <v>180</v>
      </c>
      <c r="F44" s="47">
        <v>25000</v>
      </c>
      <c r="G44" s="48">
        <v>50000</v>
      </c>
    </row>
    <row r="45" spans="1:7" ht="30" x14ac:dyDescent="0.25">
      <c r="A45" s="331"/>
      <c r="B45" s="337"/>
      <c r="C45" s="203" t="s">
        <v>203</v>
      </c>
      <c r="D45" s="45" t="s">
        <v>180</v>
      </c>
      <c r="E45" s="46">
        <v>120</v>
      </c>
      <c r="F45" s="47">
        <v>25000</v>
      </c>
      <c r="G45" s="48">
        <v>50000</v>
      </c>
    </row>
    <row r="46" spans="1:7" ht="38.25" x14ac:dyDescent="0.25">
      <c r="A46" s="331"/>
      <c r="B46" s="337"/>
      <c r="C46" s="203" t="s">
        <v>204</v>
      </c>
      <c r="D46" s="45" t="s">
        <v>75</v>
      </c>
      <c r="E46" s="46">
        <v>180</v>
      </c>
      <c r="F46" s="47">
        <v>25000</v>
      </c>
      <c r="G46" s="48">
        <v>50000</v>
      </c>
    </row>
    <row r="47" spans="1:7" ht="25.5" x14ac:dyDescent="0.25">
      <c r="A47" s="331"/>
      <c r="B47" s="337"/>
      <c r="C47" s="203" t="s">
        <v>205</v>
      </c>
      <c r="D47" s="45" t="s">
        <v>75</v>
      </c>
      <c r="E47" s="46">
        <v>180</v>
      </c>
      <c r="F47" s="47">
        <v>25000</v>
      </c>
      <c r="G47" s="48">
        <v>50000</v>
      </c>
    </row>
    <row r="48" spans="1:7" ht="27.75" customHeight="1" x14ac:dyDescent="0.25">
      <c r="A48" s="331"/>
      <c r="B48" s="337"/>
      <c r="C48" s="203" t="s">
        <v>206</v>
      </c>
      <c r="D48" s="45" t="s">
        <v>75</v>
      </c>
      <c r="E48" s="46">
        <v>180</v>
      </c>
      <c r="F48" s="47">
        <v>25000</v>
      </c>
      <c r="G48" s="48">
        <v>50000</v>
      </c>
    </row>
    <row r="49" spans="1:7" ht="30" x14ac:dyDescent="0.25">
      <c r="A49" s="332"/>
      <c r="B49" s="338"/>
      <c r="C49" s="203" t="s">
        <v>207</v>
      </c>
      <c r="D49" s="45" t="s">
        <v>180</v>
      </c>
      <c r="E49" s="46">
        <v>120</v>
      </c>
      <c r="F49" s="47">
        <v>25000</v>
      </c>
      <c r="G49" s="48">
        <v>50000</v>
      </c>
    </row>
    <row r="50" spans="1:7" ht="27.75" customHeight="1" x14ac:dyDescent="0.25">
      <c r="A50" s="330">
        <v>5</v>
      </c>
      <c r="B50" s="339" t="s">
        <v>254</v>
      </c>
      <c r="C50" s="203" t="s">
        <v>208</v>
      </c>
      <c r="D50" s="45" t="s">
        <v>75</v>
      </c>
      <c r="E50" s="46">
        <v>180</v>
      </c>
      <c r="F50" s="47">
        <v>25000</v>
      </c>
      <c r="G50" s="48">
        <v>50000</v>
      </c>
    </row>
    <row r="51" spans="1:7" ht="27.75" customHeight="1" x14ac:dyDescent="0.25">
      <c r="A51" s="331"/>
      <c r="B51" s="340"/>
      <c r="C51" s="203" t="s">
        <v>209</v>
      </c>
      <c r="D51" s="45" t="s">
        <v>75</v>
      </c>
      <c r="E51" s="46">
        <v>180</v>
      </c>
      <c r="F51" s="47">
        <v>25000</v>
      </c>
      <c r="G51" s="48">
        <v>50000</v>
      </c>
    </row>
    <row r="52" spans="1:7" ht="27.75" customHeight="1" x14ac:dyDescent="0.25">
      <c r="A52" s="331"/>
      <c r="B52" s="340"/>
      <c r="C52" s="203" t="s">
        <v>210</v>
      </c>
      <c r="D52" s="45" t="s">
        <v>75</v>
      </c>
      <c r="E52" s="46">
        <v>180</v>
      </c>
      <c r="F52" s="47">
        <v>25000</v>
      </c>
      <c r="G52" s="48">
        <v>50000</v>
      </c>
    </row>
    <row r="53" spans="1:7" ht="27.75" customHeight="1" x14ac:dyDescent="0.25">
      <c r="A53" s="331"/>
      <c r="B53" s="340"/>
      <c r="C53" s="203" t="s">
        <v>211</v>
      </c>
      <c r="D53" s="45" t="s">
        <v>75</v>
      </c>
      <c r="E53" s="46">
        <v>180</v>
      </c>
      <c r="F53" s="47">
        <v>25000</v>
      </c>
      <c r="G53" s="48">
        <v>50000</v>
      </c>
    </row>
    <row r="54" spans="1:7" ht="27.75" customHeight="1" x14ac:dyDescent="0.25">
      <c r="A54" s="331"/>
      <c r="B54" s="340"/>
      <c r="C54" s="203" t="s">
        <v>212</v>
      </c>
      <c r="D54" s="45" t="s">
        <v>75</v>
      </c>
      <c r="E54" s="46">
        <v>180</v>
      </c>
      <c r="F54" s="47">
        <v>25000</v>
      </c>
      <c r="G54" s="48">
        <v>50000</v>
      </c>
    </row>
    <row r="55" spans="1:7" ht="27.75" customHeight="1" x14ac:dyDescent="0.25">
      <c r="A55" s="331"/>
      <c r="B55" s="340"/>
      <c r="C55" s="203" t="s">
        <v>213</v>
      </c>
      <c r="D55" s="45" t="s">
        <v>75</v>
      </c>
      <c r="E55" s="46">
        <v>180</v>
      </c>
      <c r="F55" s="47">
        <v>25000</v>
      </c>
      <c r="G55" s="48">
        <v>50000</v>
      </c>
    </row>
    <row r="56" spans="1:7" ht="27.75" customHeight="1" x14ac:dyDescent="0.25">
      <c r="A56" s="331"/>
      <c r="B56" s="340"/>
      <c r="C56" s="203" t="s">
        <v>214</v>
      </c>
      <c r="D56" s="45" t="s">
        <v>75</v>
      </c>
      <c r="E56" s="46">
        <v>180</v>
      </c>
      <c r="F56" s="47">
        <v>25000</v>
      </c>
      <c r="G56" s="48">
        <v>50000</v>
      </c>
    </row>
    <row r="57" spans="1:7" ht="27.75" customHeight="1" x14ac:dyDescent="0.25">
      <c r="A57" s="331"/>
      <c r="B57" s="340"/>
      <c r="C57" s="203" t="s">
        <v>215</v>
      </c>
      <c r="D57" s="45" t="s">
        <v>75</v>
      </c>
      <c r="E57" s="46">
        <v>180</v>
      </c>
      <c r="F57" s="47">
        <v>25000</v>
      </c>
      <c r="G57" s="48">
        <v>50000</v>
      </c>
    </row>
    <row r="58" spans="1:7" ht="30" x14ac:dyDescent="0.25">
      <c r="A58" s="331"/>
      <c r="B58" s="340"/>
      <c r="C58" s="203" t="s">
        <v>216</v>
      </c>
      <c r="D58" s="45" t="s">
        <v>180</v>
      </c>
      <c r="E58" s="46">
        <v>120</v>
      </c>
      <c r="F58" s="47">
        <v>25000</v>
      </c>
      <c r="G58" s="48">
        <v>50000</v>
      </c>
    </row>
    <row r="59" spans="1:7" ht="30" x14ac:dyDescent="0.25">
      <c r="A59" s="332"/>
      <c r="B59" s="341"/>
      <c r="C59" s="203" t="s">
        <v>217</v>
      </c>
      <c r="D59" s="45" t="s">
        <v>180</v>
      </c>
      <c r="E59" s="46">
        <v>120</v>
      </c>
      <c r="F59" s="47">
        <v>25000</v>
      </c>
      <c r="G59" s="48">
        <v>50000</v>
      </c>
    </row>
    <row r="60" spans="1:7" ht="25.5" x14ac:dyDescent="0.25">
      <c r="A60" s="330">
        <v>1</v>
      </c>
      <c r="B60" s="322" t="s">
        <v>251</v>
      </c>
      <c r="C60" s="203" t="s">
        <v>218</v>
      </c>
      <c r="D60" s="45" t="s">
        <v>82</v>
      </c>
      <c r="E60" s="46">
        <v>120</v>
      </c>
      <c r="F60" s="47">
        <v>144000</v>
      </c>
      <c r="G60" s="48">
        <v>172800</v>
      </c>
    </row>
    <row r="61" spans="1:7" ht="25.5" x14ac:dyDescent="0.25">
      <c r="A61" s="331"/>
      <c r="B61" s="323"/>
      <c r="C61" s="203" t="s">
        <v>219</v>
      </c>
      <c r="D61" s="45" t="s">
        <v>82</v>
      </c>
      <c r="E61" s="46">
        <v>120</v>
      </c>
      <c r="F61" s="47">
        <v>144000</v>
      </c>
      <c r="G61" s="48">
        <v>172800</v>
      </c>
    </row>
    <row r="62" spans="1:7" ht="27.75" customHeight="1" x14ac:dyDescent="0.25">
      <c r="A62" s="331"/>
      <c r="B62" s="323"/>
      <c r="C62" s="203" t="s">
        <v>218</v>
      </c>
      <c r="D62" s="45" t="s">
        <v>92</v>
      </c>
      <c r="E62" s="46">
        <v>60</v>
      </c>
      <c r="F62" s="47">
        <v>60000</v>
      </c>
      <c r="G62" s="48">
        <v>72000</v>
      </c>
    </row>
    <row r="63" spans="1:7" ht="27.75" customHeight="1" x14ac:dyDescent="0.25">
      <c r="A63" s="331"/>
      <c r="B63" s="323"/>
      <c r="C63" s="203" t="s">
        <v>178</v>
      </c>
      <c r="D63" s="45" t="s">
        <v>92</v>
      </c>
      <c r="E63" s="46">
        <v>60</v>
      </c>
      <c r="F63" s="47">
        <v>60000</v>
      </c>
      <c r="G63" s="48">
        <v>72000</v>
      </c>
    </row>
    <row r="64" spans="1:7" ht="25.5" x14ac:dyDescent="0.25">
      <c r="A64" s="332"/>
      <c r="B64" s="324"/>
      <c r="C64" s="203" t="s">
        <v>220</v>
      </c>
      <c r="D64" s="45" t="s">
        <v>92</v>
      </c>
      <c r="E64" s="46">
        <v>60</v>
      </c>
      <c r="F64" s="47">
        <v>60000</v>
      </c>
      <c r="G64" s="48">
        <v>72000</v>
      </c>
    </row>
    <row r="65" spans="1:7" ht="27.75" customHeight="1" x14ac:dyDescent="0.25">
      <c r="A65" s="330">
        <v>2</v>
      </c>
      <c r="B65" s="327" t="s">
        <v>252</v>
      </c>
      <c r="C65" s="203" t="s">
        <v>221</v>
      </c>
      <c r="D65" s="45" t="s">
        <v>92</v>
      </c>
      <c r="E65" s="46">
        <v>60</v>
      </c>
      <c r="F65" s="47">
        <v>60000</v>
      </c>
      <c r="G65" s="48">
        <v>72000</v>
      </c>
    </row>
    <row r="66" spans="1:7" ht="27.75" customHeight="1" x14ac:dyDescent="0.25">
      <c r="A66" s="332"/>
      <c r="B66" s="329"/>
      <c r="C66" s="203" t="s">
        <v>222</v>
      </c>
      <c r="D66" s="45" t="s">
        <v>92</v>
      </c>
      <c r="E66" s="46">
        <v>60</v>
      </c>
      <c r="F66" s="47">
        <v>60000</v>
      </c>
      <c r="G66" s="48">
        <v>72000</v>
      </c>
    </row>
    <row r="67" spans="1:7" ht="27.75" customHeight="1" x14ac:dyDescent="0.25">
      <c r="A67" s="330">
        <v>3</v>
      </c>
      <c r="B67" s="333" t="s">
        <v>253</v>
      </c>
      <c r="C67" s="203" t="s">
        <v>223</v>
      </c>
      <c r="D67" s="45" t="s">
        <v>82</v>
      </c>
      <c r="E67" s="46">
        <v>120</v>
      </c>
      <c r="F67" s="47">
        <v>150000</v>
      </c>
      <c r="G67" s="48">
        <v>180000</v>
      </c>
    </row>
    <row r="68" spans="1:7" ht="27.75" customHeight="1" x14ac:dyDescent="0.25">
      <c r="A68" s="331"/>
      <c r="B68" s="334"/>
      <c r="C68" s="203" t="s">
        <v>224</v>
      </c>
      <c r="D68" s="45" t="s">
        <v>82</v>
      </c>
      <c r="E68" s="46">
        <v>120</v>
      </c>
      <c r="F68" s="47">
        <v>150000</v>
      </c>
      <c r="G68" s="48">
        <v>180000</v>
      </c>
    </row>
    <row r="69" spans="1:7" ht="27.75" customHeight="1" x14ac:dyDescent="0.25">
      <c r="A69" s="331"/>
      <c r="B69" s="334"/>
      <c r="C69" s="203" t="s">
        <v>105</v>
      </c>
      <c r="D69" s="45" t="s">
        <v>82</v>
      </c>
      <c r="E69" s="46">
        <v>120</v>
      </c>
      <c r="F69" s="47">
        <v>150000</v>
      </c>
      <c r="G69" s="48">
        <v>180000</v>
      </c>
    </row>
    <row r="70" spans="1:7" ht="38.25" x14ac:dyDescent="0.25">
      <c r="A70" s="331"/>
      <c r="B70" s="334"/>
      <c r="C70" s="203" t="s">
        <v>225</v>
      </c>
      <c r="D70" s="45" t="s">
        <v>82</v>
      </c>
      <c r="E70" s="46">
        <v>120</v>
      </c>
      <c r="F70" s="47">
        <v>150000</v>
      </c>
      <c r="G70" s="48">
        <v>180000</v>
      </c>
    </row>
    <row r="71" spans="1:7" ht="38.25" x14ac:dyDescent="0.25">
      <c r="A71" s="331"/>
      <c r="B71" s="334"/>
      <c r="C71" s="203" t="s">
        <v>227</v>
      </c>
      <c r="D71" s="45" t="s">
        <v>82</v>
      </c>
      <c r="E71" s="46">
        <v>120</v>
      </c>
      <c r="F71" s="47">
        <v>150000</v>
      </c>
      <c r="G71" s="48">
        <v>180000</v>
      </c>
    </row>
    <row r="72" spans="1:7" ht="38.25" x14ac:dyDescent="0.25">
      <c r="A72" s="331"/>
      <c r="B72" s="334"/>
      <c r="C72" s="203" t="s">
        <v>226</v>
      </c>
      <c r="D72" s="45" t="s">
        <v>82</v>
      </c>
      <c r="E72" s="46">
        <v>120</v>
      </c>
      <c r="F72" s="47">
        <v>150000</v>
      </c>
      <c r="G72" s="48">
        <v>180000</v>
      </c>
    </row>
    <row r="73" spans="1:7" ht="27.75" customHeight="1" x14ac:dyDescent="0.25">
      <c r="A73" s="331"/>
      <c r="B73" s="334"/>
      <c r="C73" s="203" t="s">
        <v>228</v>
      </c>
      <c r="D73" s="45" t="s">
        <v>92</v>
      </c>
      <c r="E73" s="46">
        <v>60</v>
      </c>
      <c r="F73" s="47">
        <v>60000</v>
      </c>
      <c r="G73" s="48">
        <v>72000</v>
      </c>
    </row>
    <row r="74" spans="1:7" ht="25.5" x14ac:dyDescent="0.25">
      <c r="A74" s="331"/>
      <c r="B74" s="334"/>
      <c r="C74" s="203" t="s">
        <v>229</v>
      </c>
      <c r="D74" s="45" t="s">
        <v>92</v>
      </c>
      <c r="E74" s="46">
        <v>60</v>
      </c>
      <c r="F74" s="47">
        <v>60000</v>
      </c>
      <c r="G74" s="48">
        <v>72000</v>
      </c>
    </row>
    <row r="75" spans="1:7" ht="27.75" customHeight="1" x14ac:dyDescent="0.25">
      <c r="A75" s="331"/>
      <c r="B75" s="334"/>
      <c r="C75" s="203" t="s">
        <v>115</v>
      </c>
      <c r="D75" s="45" t="s">
        <v>92</v>
      </c>
      <c r="E75" s="46">
        <v>60</v>
      </c>
      <c r="F75" s="47">
        <v>60000</v>
      </c>
      <c r="G75" s="48">
        <v>72000</v>
      </c>
    </row>
    <row r="76" spans="1:7" ht="38.25" x14ac:dyDescent="0.25">
      <c r="A76" s="331"/>
      <c r="B76" s="334"/>
      <c r="C76" s="203" t="s">
        <v>227</v>
      </c>
      <c r="D76" s="45" t="s">
        <v>92</v>
      </c>
      <c r="E76" s="46">
        <v>60</v>
      </c>
      <c r="F76" s="47">
        <v>60000</v>
      </c>
      <c r="G76" s="48">
        <v>72000</v>
      </c>
    </row>
    <row r="77" spans="1:7" ht="38.25" x14ac:dyDescent="0.25">
      <c r="A77" s="331"/>
      <c r="B77" s="334"/>
      <c r="C77" s="203" t="s">
        <v>226</v>
      </c>
      <c r="D77" s="45" t="s">
        <v>92</v>
      </c>
      <c r="E77" s="46">
        <v>60</v>
      </c>
      <c r="F77" s="47">
        <v>60000</v>
      </c>
      <c r="G77" s="48">
        <v>72000</v>
      </c>
    </row>
    <row r="78" spans="1:7" ht="27.75" customHeight="1" x14ac:dyDescent="0.25">
      <c r="A78" s="331"/>
      <c r="B78" s="334"/>
      <c r="C78" s="203" t="s">
        <v>230</v>
      </c>
      <c r="D78" s="45" t="s">
        <v>92</v>
      </c>
      <c r="E78" s="46">
        <v>60</v>
      </c>
      <c r="F78" s="47">
        <v>60000</v>
      </c>
      <c r="G78" s="48">
        <v>72000</v>
      </c>
    </row>
    <row r="79" spans="1:7" ht="38.25" x14ac:dyDescent="0.25">
      <c r="A79" s="332"/>
      <c r="B79" s="335"/>
      <c r="C79" s="203" t="s">
        <v>231</v>
      </c>
      <c r="D79" s="45" t="s">
        <v>92</v>
      </c>
      <c r="E79" s="46">
        <v>60</v>
      </c>
      <c r="F79" s="47">
        <v>60000</v>
      </c>
      <c r="G79" s="48">
        <v>72000</v>
      </c>
    </row>
    <row r="80" spans="1:7" ht="27.75" customHeight="1" x14ac:dyDescent="0.25">
      <c r="A80" s="330">
        <v>4</v>
      </c>
      <c r="B80" s="336" t="s">
        <v>239</v>
      </c>
      <c r="C80" s="203" t="s">
        <v>232</v>
      </c>
      <c r="D80" s="45" t="s">
        <v>82</v>
      </c>
      <c r="E80" s="46">
        <v>120</v>
      </c>
      <c r="F80" s="47">
        <v>144000</v>
      </c>
      <c r="G80" s="48">
        <v>172800</v>
      </c>
    </row>
    <row r="81" spans="1:7" ht="27.75" customHeight="1" x14ac:dyDescent="0.25">
      <c r="A81" s="331"/>
      <c r="B81" s="337"/>
      <c r="C81" s="203" t="s">
        <v>67</v>
      </c>
      <c r="D81" s="45" t="s">
        <v>82</v>
      </c>
      <c r="E81" s="46">
        <v>120</v>
      </c>
      <c r="F81" s="47">
        <v>144000</v>
      </c>
      <c r="G81" s="48">
        <v>172800</v>
      </c>
    </row>
    <row r="82" spans="1:7" ht="27.75" customHeight="1" x14ac:dyDescent="0.25">
      <c r="A82" s="331"/>
      <c r="B82" s="337"/>
      <c r="C82" s="203" t="s">
        <v>233</v>
      </c>
      <c r="D82" s="45" t="s">
        <v>82</v>
      </c>
      <c r="E82" s="46">
        <v>120</v>
      </c>
      <c r="F82" s="47">
        <v>144000</v>
      </c>
      <c r="G82" s="48">
        <v>172800</v>
      </c>
    </row>
    <row r="83" spans="1:7" ht="27.75" customHeight="1" x14ac:dyDescent="0.25">
      <c r="A83" s="331"/>
      <c r="B83" s="337"/>
      <c r="C83" s="203" t="s">
        <v>234</v>
      </c>
      <c r="D83" s="45" t="s">
        <v>82</v>
      </c>
      <c r="E83" s="46">
        <v>120</v>
      </c>
      <c r="F83" s="47">
        <v>144000</v>
      </c>
      <c r="G83" s="48">
        <v>172800</v>
      </c>
    </row>
    <row r="84" spans="1:7" ht="25.5" x14ac:dyDescent="0.25">
      <c r="A84" s="331"/>
      <c r="B84" s="337"/>
      <c r="C84" s="203" t="s">
        <v>235</v>
      </c>
      <c r="D84" s="45" t="s">
        <v>82</v>
      </c>
      <c r="E84" s="46">
        <v>120</v>
      </c>
      <c r="F84" s="47">
        <v>144000</v>
      </c>
      <c r="G84" s="48">
        <v>172800</v>
      </c>
    </row>
    <row r="85" spans="1:7" ht="25.5" x14ac:dyDescent="0.25">
      <c r="A85" s="331"/>
      <c r="B85" s="337"/>
      <c r="C85" s="203" t="s">
        <v>236</v>
      </c>
      <c r="D85" s="45" t="s">
        <v>82</v>
      </c>
      <c r="E85" s="46">
        <v>120</v>
      </c>
      <c r="F85" s="47">
        <v>144000</v>
      </c>
      <c r="G85" s="48">
        <v>172800</v>
      </c>
    </row>
    <row r="86" spans="1:7" ht="27.75" customHeight="1" x14ac:dyDescent="0.25">
      <c r="A86" s="331"/>
      <c r="B86" s="337"/>
      <c r="C86" s="203" t="s">
        <v>200</v>
      </c>
      <c r="D86" s="45" t="s">
        <v>82</v>
      </c>
      <c r="E86" s="46">
        <v>120</v>
      </c>
      <c r="F86" s="47">
        <v>144000</v>
      </c>
      <c r="G86" s="48">
        <v>172800</v>
      </c>
    </row>
    <row r="87" spans="1:7" ht="27.75" customHeight="1" x14ac:dyDescent="0.25">
      <c r="A87" s="331"/>
      <c r="B87" s="337"/>
      <c r="C87" s="203" t="s">
        <v>234</v>
      </c>
      <c r="D87" s="45" t="s">
        <v>92</v>
      </c>
      <c r="E87" s="46">
        <v>60</v>
      </c>
      <c r="F87" s="47">
        <v>60000</v>
      </c>
      <c r="G87" s="48">
        <v>72000</v>
      </c>
    </row>
    <row r="88" spans="1:7" ht="27.75" customHeight="1" x14ac:dyDescent="0.25">
      <c r="A88" s="331"/>
      <c r="B88" s="337"/>
      <c r="C88" s="203" t="s">
        <v>232</v>
      </c>
      <c r="D88" s="45" t="s">
        <v>92</v>
      </c>
      <c r="E88" s="46">
        <v>60</v>
      </c>
      <c r="F88" s="47">
        <v>60000</v>
      </c>
      <c r="G88" s="48">
        <v>72000</v>
      </c>
    </row>
    <row r="89" spans="1:7" ht="27.75" customHeight="1" x14ac:dyDescent="0.25">
      <c r="A89" s="331"/>
      <c r="B89" s="337"/>
      <c r="C89" s="203" t="s">
        <v>237</v>
      </c>
      <c r="D89" s="45" t="s">
        <v>92</v>
      </c>
      <c r="E89" s="46">
        <v>60</v>
      </c>
      <c r="F89" s="47">
        <v>60000</v>
      </c>
      <c r="G89" s="48">
        <v>72000</v>
      </c>
    </row>
    <row r="90" spans="1:7" ht="27.75" customHeight="1" x14ac:dyDescent="0.25">
      <c r="A90" s="331"/>
      <c r="B90" s="337"/>
      <c r="C90" s="203" t="s">
        <v>67</v>
      </c>
      <c r="D90" s="45" t="s">
        <v>92</v>
      </c>
      <c r="E90" s="46">
        <v>60</v>
      </c>
      <c r="F90" s="47">
        <v>60000</v>
      </c>
      <c r="G90" s="48">
        <v>72000</v>
      </c>
    </row>
    <row r="91" spans="1:7" ht="27.75" customHeight="1" x14ac:dyDescent="0.25">
      <c r="A91" s="331"/>
      <c r="B91" s="337"/>
      <c r="C91" s="203" t="s">
        <v>88</v>
      </c>
      <c r="D91" s="45" t="s">
        <v>92</v>
      </c>
      <c r="E91" s="46">
        <v>60</v>
      </c>
      <c r="F91" s="47">
        <v>60000</v>
      </c>
      <c r="G91" s="48">
        <v>72000</v>
      </c>
    </row>
    <row r="92" spans="1:7" ht="25.5" x14ac:dyDescent="0.25">
      <c r="A92" s="332"/>
      <c r="B92" s="338"/>
      <c r="C92" s="203" t="s">
        <v>238</v>
      </c>
      <c r="D92" s="45" t="s">
        <v>92</v>
      </c>
      <c r="E92" s="46">
        <v>60</v>
      </c>
      <c r="F92" s="47">
        <v>60000</v>
      </c>
      <c r="G92" s="48">
        <v>72000</v>
      </c>
    </row>
    <row r="93" spans="1:7" ht="51" x14ac:dyDescent="0.25">
      <c r="A93" s="330">
        <v>5</v>
      </c>
      <c r="B93" s="339" t="s">
        <v>254</v>
      </c>
      <c r="C93" s="203" t="s">
        <v>240</v>
      </c>
      <c r="D93" s="45" t="s">
        <v>82</v>
      </c>
      <c r="E93" s="46">
        <v>120</v>
      </c>
      <c r="F93" s="47">
        <v>144000</v>
      </c>
      <c r="G93" s="48">
        <v>172800</v>
      </c>
    </row>
    <row r="94" spans="1:7" ht="27.75" customHeight="1" x14ac:dyDescent="0.25">
      <c r="A94" s="331"/>
      <c r="B94" s="340"/>
      <c r="C94" s="203" t="s">
        <v>241</v>
      </c>
      <c r="D94" s="45" t="s">
        <v>82</v>
      </c>
      <c r="E94" s="46">
        <v>120</v>
      </c>
      <c r="F94" s="47">
        <v>144000</v>
      </c>
      <c r="G94" s="48">
        <v>172800</v>
      </c>
    </row>
    <row r="95" spans="1:7" ht="38.25" x14ac:dyDescent="0.25">
      <c r="A95" s="331"/>
      <c r="B95" s="340"/>
      <c r="C95" s="203" t="s">
        <v>242</v>
      </c>
      <c r="D95" s="45" t="s">
        <v>82</v>
      </c>
      <c r="E95" s="46">
        <v>120</v>
      </c>
      <c r="F95" s="47">
        <v>144000</v>
      </c>
      <c r="G95" s="48">
        <v>172800</v>
      </c>
    </row>
    <row r="96" spans="1:7" ht="27.75" customHeight="1" x14ac:dyDescent="0.25">
      <c r="A96" s="331"/>
      <c r="B96" s="340"/>
      <c r="C96" s="203" t="s">
        <v>243</v>
      </c>
      <c r="D96" s="45" t="s">
        <v>82</v>
      </c>
      <c r="E96" s="46">
        <v>120</v>
      </c>
      <c r="F96" s="47">
        <v>144000</v>
      </c>
      <c r="G96" s="48">
        <v>172800</v>
      </c>
    </row>
    <row r="97" spans="1:7" ht="25.5" x14ac:dyDescent="0.25">
      <c r="A97" s="331"/>
      <c r="B97" s="340"/>
      <c r="C97" s="203" t="s">
        <v>244</v>
      </c>
      <c r="D97" s="45" t="s">
        <v>92</v>
      </c>
      <c r="E97" s="46">
        <v>120</v>
      </c>
      <c r="F97" s="47">
        <v>120000</v>
      </c>
      <c r="G97" s="48">
        <v>144000</v>
      </c>
    </row>
    <row r="98" spans="1:7" ht="27.75" customHeight="1" x14ac:dyDescent="0.25">
      <c r="A98" s="331"/>
      <c r="B98" s="340"/>
      <c r="C98" s="203" t="s">
        <v>245</v>
      </c>
      <c r="D98" s="45" t="s">
        <v>92</v>
      </c>
      <c r="E98" s="46">
        <v>120</v>
      </c>
      <c r="F98" s="47">
        <v>120000</v>
      </c>
      <c r="G98" s="48">
        <v>144000</v>
      </c>
    </row>
    <row r="99" spans="1:7" ht="25.5" x14ac:dyDescent="0.25">
      <c r="A99" s="331"/>
      <c r="B99" s="340"/>
      <c r="C99" s="203" t="s">
        <v>246</v>
      </c>
      <c r="D99" s="45" t="s">
        <v>92</v>
      </c>
      <c r="E99" s="46">
        <v>120</v>
      </c>
      <c r="F99" s="47">
        <v>120000</v>
      </c>
      <c r="G99" s="48">
        <v>144000</v>
      </c>
    </row>
    <row r="100" spans="1:7" ht="25.5" x14ac:dyDescent="0.25">
      <c r="A100" s="331"/>
      <c r="B100" s="340"/>
      <c r="C100" s="203" t="s">
        <v>247</v>
      </c>
      <c r="D100" s="45" t="s">
        <v>92</v>
      </c>
      <c r="E100" s="46">
        <v>120</v>
      </c>
      <c r="F100" s="47">
        <v>120000</v>
      </c>
      <c r="G100" s="48">
        <v>144000</v>
      </c>
    </row>
    <row r="101" spans="1:7" ht="25.5" x14ac:dyDescent="0.25">
      <c r="A101" s="331"/>
      <c r="B101" s="340"/>
      <c r="C101" s="203" t="s">
        <v>139</v>
      </c>
      <c r="D101" s="45" t="s">
        <v>92</v>
      </c>
      <c r="E101" s="46">
        <v>120</v>
      </c>
      <c r="F101" s="47">
        <v>120000</v>
      </c>
      <c r="G101" s="48">
        <v>144000</v>
      </c>
    </row>
    <row r="102" spans="1:7" ht="27.75" customHeight="1" x14ac:dyDescent="0.25">
      <c r="A102" s="331"/>
      <c r="B102" s="340"/>
      <c r="C102" s="203" t="s">
        <v>248</v>
      </c>
      <c r="D102" s="45" t="s">
        <v>92</v>
      </c>
      <c r="E102" s="46">
        <v>120</v>
      </c>
      <c r="F102" s="47">
        <v>120000</v>
      </c>
      <c r="G102" s="48">
        <v>144000</v>
      </c>
    </row>
    <row r="103" spans="1:7" ht="25.5" x14ac:dyDescent="0.25">
      <c r="A103" s="331"/>
      <c r="B103" s="340"/>
      <c r="C103" s="203" t="s">
        <v>249</v>
      </c>
      <c r="D103" s="45" t="s">
        <v>92</v>
      </c>
      <c r="E103" s="46">
        <v>120</v>
      </c>
      <c r="F103" s="47">
        <v>120000</v>
      </c>
      <c r="G103" s="48">
        <v>144000</v>
      </c>
    </row>
    <row r="104" spans="1:7" ht="27.75" customHeight="1" x14ac:dyDescent="0.25">
      <c r="A104" s="331"/>
      <c r="B104" s="340"/>
      <c r="C104" s="203" t="s">
        <v>250</v>
      </c>
      <c r="D104" s="45" t="s">
        <v>92</v>
      </c>
      <c r="E104" s="46">
        <v>120</v>
      </c>
      <c r="F104" s="47">
        <v>120000</v>
      </c>
      <c r="G104" s="48">
        <v>144000</v>
      </c>
    </row>
    <row r="105" spans="1:7" ht="25.5" x14ac:dyDescent="0.25">
      <c r="A105" s="332"/>
      <c r="B105" s="341"/>
      <c r="C105" s="203" t="s">
        <v>137</v>
      </c>
      <c r="D105" s="45" t="s">
        <v>92</v>
      </c>
      <c r="E105" s="46">
        <v>120</v>
      </c>
      <c r="F105" s="47">
        <v>120000</v>
      </c>
      <c r="G105" s="48">
        <v>144000</v>
      </c>
    </row>
    <row r="106" spans="1:7" ht="27.75" customHeight="1" x14ac:dyDescent="0.25"/>
    <row r="107" spans="1:7" ht="27.75" customHeight="1" x14ac:dyDescent="0.25"/>
    <row r="108" spans="1:7" ht="27.75" customHeight="1" x14ac:dyDescent="0.25"/>
    <row r="109" spans="1:7" ht="27.75" customHeight="1" x14ac:dyDescent="0.25"/>
    <row r="110" spans="1:7" ht="27.75" customHeight="1" x14ac:dyDescent="0.25"/>
    <row r="111" spans="1:7" ht="27.75" customHeight="1" x14ac:dyDescent="0.25"/>
    <row r="112" spans="1:7" ht="27.75" customHeight="1" x14ac:dyDescent="0.25"/>
    <row r="113" ht="27.75" customHeight="1" x14ac:dyDescent="0.25"/>
    <row r="114" ht="27.75" customHeight="1" x14ac:dyDescent="0.25"/>
    <row r="115" ht="27.75" customHeight="1" x14ac:dyDescent="0.25"/>
    <row r="116" ht="27.75" customHeight="1" x14ac:dyDescent="0.25"/>
    <row r="117" ht="27.75" customHeight="1" x14ac:dyDescent="0.25"/>
    <row r="118" ht="27.75" customHeight="1" x14ac:dyDescent="0.25"/>
    <row r="119" ht="27.75" customHeight="1" x14ac:dyDescent="0.25"/>
    <row r="120" ht="27.75" customHeight="1" x14ac:dyDescent="0.25"/>
    <row r="121" ht="27.75" customHeight="1" x14ac:dyDescent="0.25"/>
    <row r="122" ht="27.75" customHeight="1" x14ac:dyDescent="0.25"/>
    <row r="123" ht="27.75" customHeight="1" x14ac:dyDescent="0.25"/>
    <row r="124" ht="27.75" customHeight="1" x14ac:dyDescent="0.25"/>
    <row r="125" ht="27.75" customHeight="1" x14ac:dyDescent="0.25"/>
    <row r="126" ht="27.75" customHeight="1" x14ac:dyDescent="0.25"/>
    <row r="127" ht="27.75" customHeight="1" x14ac:dyDescent="0.25"/>
    <row r="128" ht="27.75" customHeight="1" x14ac:dyDescent="0.25"/>
    <row r="129" ht="27.75" customHeight="1" x14ac:dyDescent="0.25"/>
    <row r="130" ht="27.75" customHeight="1" x14ac:dyDescent="0.25"/>
    <row r="131" ht="27.75" customHeight="1" x14ac:dyDescent="0.25"/>
    <row r="132" ht="27.75" customHeight="1" x14ac:dyDescent="0.25"/>
    <row r="133" ht="27.75" customHeight="1" x14ac:dyDescent="0.25"/>
    <row r="134" ht="27.75" customHeight="1" x14ac:dyDescent="0.25"/>
    <row r="135" ht="27.75" customHeight="1" x14ac:dyDescent="0.25"/>
    <row r="136" ht="27.75" customHeight="1" x14ac:dyDescent="0.25"/>
    <row r="137" ht="27.75" customHeight="1" x14ac:dyDescent="0.25"/>
    <row r="138" ht="27.75" customHeight="1" x14ac:dyDescent="0.25"/>
    <row r="139" ht="27.75" customHeight="1" x14ac:dyDescent="0.25"/>
    <row r="140" ht="27.75" customHeight="1" x14ac:dyDescent="0.25"/>
    <row r="141" ht="27.75" customHeight="1" x14ac:dyDescent="0.25"/>
    <row r="142" ht="27.75" customHeight="1" x14ac:dyDescent="0.25"/>
    <row r="143" ht="27.75" customHeight="1" x14ac:dyDescent="0.25"/>
    <row r="144" ht="27.75" customHeight="1" x14ac:dyDescent="0.25"/>
    <row r="145" ht="27.75" customHeight="1" x14ac:dyDescent="0.25"/>
    <row r="146" ht="27.75" customHeight="1" x14ac:dyDescent="0.25"/>
    <row r="147" ht="27.75" customHeight="1" x14ac:dyDescent="0.25"/>
    <row r="148" ht="27.75" customHeight="1" x14ac:dyDescent="0.25"/>
    <row r="149" ht="27.75" customHeight="1" x14ac:dyDescent="0.25"/>
    <row r="150" ht="27.75" customHeight="1" x14ac:dyDescent="0.25"/>
    <row r="151" ht="27.75" customHeight="1" x14ac:dyDescent="0.25"/>
    <row r="152" ht="27.75" customHeight="1" x14ac:dyDescent="0.25"/>
    <row r="153" ht="27.75" customHeight="1" x14ac:dyDescent="0.25"/>
    <row r="154" ht="27.75" customHeight="1" x14ac:dyDescent="0.25"/>
    <row r="155" ht="27.75" customHeight="1" x14ac:dyDescent="0.25"/>
    <row r="156" ht="27.75" customHeight="1" x14ac:dyDescent="0.25"/>
    <row r="157" ht="27.75" customHeight="1" x14ac:dyDescent="0.25"/>
    <row r="158" ht="27.75" customHeight="1" x14ac:dyDescent="0.25"/>
    <row r="159" ht="27.75" customHeight="1" x14ac:dyDescent="0.25"/>
    <row r="160" ht="27.75" customHeight="1" x14ac:dyDescent="0.25"/>
    <row r="161" ht="27.75" customHeight="1" x14ac:dyDescent="0.25"/>
    <row r="162" ht="27.75" customHeight="1" x14ac:dyDescent="0.25"/>
    <row r="163" ht="27.75" customHeight="1" x14ac:dyDescent="0.25"/>
    <row r="164" ht="27.75" customHeight="1" x14ac:dyDescent="0.25"/>
    <row r="165" ht="27.75" customHeight="1" x14ac:dyDescent="0.25"/>
    <row r="166" ht="27.75" customHeight="1" x14ac:dyDescent="0.25"/>
    <row r="167" ht="27.75" customHeight="1" x14ac:dyDescent="0.25"/>
    <row r="168" ht="27.75" customHeight="1" x14ac:dyDescent="0.25"/>
    <row r="169" ht="27.75" customHeight="1" x14ac:dyDescent="0.25"/>
    <row r="170" ht="27.75" customHeight="1" x14ac:dyDescent="0.25"/>
    <row r="171" ht="27.75" customHeight="1" x14ac:dyDescent="0.25"/>
    <row r="172" ht="27.75" customHeight="1" x14ac:dyDescent="0.25"/>
    <row r="173" ht="27.75" customHeight="1" x14ac:dyDescent="0.25"/>
    <row r="174" ht="27.75" customHeight="1" x14ac:dyDescent="0.25"/>
    <row r="175" ht="27.75" customHeight="1" x14ac:dyDescent="0.25"/>
    <row r="176" ht="27.75" customHeight="1" x14ac:dyDescent="0.25"/>
    <row r="177" ht="27.75" customHeight="1" x14ac:dyDescent="0.25"/>
    <row r="178" ht="27.75" customHeight="1" x14ac:dyDescent="0.25"/>
    <row r="179" ht="27.75" customHeight="1" x14ac:dyDescent="0.25"/>
    <row r="180" ht="27.75" customHeight="1" x14ac:dyDescent="0.25"/>
    <row r="181" ht="27.75" customHeight="1" x14ac:dyDescent="0.25"/>
    <row r="182" ht="27.75" customHeight="1" x14ac:dyDescent="0.25"/>
    <row r="183" ht="27.75" customHeight="1" x14ac:dyDescent="0.25"/>
    <row r="184" ht="27.75" customHeight="1" x14ac:dyDescent="0.25"/>
    <row r="185" ht="27.75" customHeight="1" x14ac:dyDescent="0.25"/>
    <row r="186" ht="27.75" customHeight="1" x14ac:dyDescent="0.25"/>
    <row r="187" ht="27.75" customHeight="1" x14ac:dyDescent="0.25"/>
    <row r="188" ht="27.75" customHeight="1" x14ac:dyDescent="0.25"/>
    <row r="189" ht="27.75" customHeight="1" x14ac:dyDescent="0.25"/>
    <row r="190" ht="27.75" customHeight="1" x14ac:dyDescent="0.25"/>
    <row r="191" ht="27.75" customHeight="1" x14ac:dyDescent="0.25"/>
    <row r="192" ht="27.75" customHeight="1" x14ac:dyDescent="0.25"/>
    <row r="193" ht="27.75" customHeight="1" x14ac:dyDescent="0.25"/>
    <row r="194" ht="27.75" customHeight="1" x14ac:dyDescent="0.25"/>
    <row r="195" ht="27.75" customHeight="1" x14ac:dyDescent="0.25"/>
    <row r="196" ht="27.75" customHeight="1" x14ac:dyDescent="0.25"/>
    <row r="197" ht="27.75" customHeight="1" x14ac:dyDescent="0.25"/>
    <row r="198" ht="27.75" customHeight="1" x14ac:dyDescent="0.25"/>
    <row r="199" ht="27.75" customHeight="1" x14ac:dyDescent="0.25"/>
    <row r="200" ht="27.75" customHeight="1" x14ac:dyDescent="0.25"/>
    <row r="201" ht="27.75" customHeight="1" x14ac:dyDescent="0.25"/>
    <row r="202" ht="27.75" customHeight="1" x14ac:dyDescent="0.25"/>
    <row r="203" ht="27.75" customHeight="1" x14ac:dyDescent="0.25"/>
    <row r="204" ht="27.75" customHeight="1" x14ac:dyDescent="0.25"/>
    <row r="205" ht="27.75" customHeight="1" x14ac:dyDescent="0.25"/>
    <row r="206" ht="27.75" customHeight="1" x14ac:dyDescent="0.25"/>
    <row r="207" ht="27.75" customHeight="1" x14ac:dyDescent="0.25"/>
    <row r="208" ht="27.75" customHeight="1" x14ac:dyDescent="0.25"/>
    <row r="209" ht="27.75" customHeight="1" x14ac:dyDescent="0.25"/>
    <row r="210" ht="27.75" customHeight="1" x14ac:dyDescent="0.25"/>
    <row r="211" ht="27.75" customHeight="1" x14ac:dyDescent="0.25"/>
    <row r="212" ht="27.75" customHeight="1" x14ac:dyDescent="0.25"/>
    <row r="213" ht="27.75" customHeight="1" x14ac:dyDescent="0.25"/>
    <row r="214" ht="27.75" customHeight="1" x14ac:dyDescent="0.25"/>
    <row r="215" ht="27.75" customHeight="1" x14ac:dyDescent="0.25"/>
    <row r="216" ht="27.75" customHeight="1" x14ac:dyDescent="0.25"/>
    <row r="217" ht="27.75" customHeight="1" x14ac:dyDescent="0.25"/>
    <row r="218" ht="27.75" customHeight="1" x14ac:dyDescent="0.25"/>
    <row r="219" ht="27.75" customHeight="1" x14ac:dyDescent="0.25"/>
    <row r="220" ht="27.75" customHeight="1" x14ac:dyDescent="0.25"/>
    <row r="221" ht="27.75" customHeight="1" x14ac:dyDescent="0.25"/>
    <row r="222" ht="27.75" customHeight="1" x14ac:dyDescent="0.25"/>
    <row r="223" ht="27.75" customHeight="1" x14ac:dyDescent="0.25"/>
    <row r="224" ht="27.75" customHeight="1" x14ac:dyDescent="0.25"/>
    <row r="225" ht="27.75" customHeight="1" x14ac:dyDescent="0.25"/>
    <row r="226" ht="27.75" customHeight="1" x14ac:dyDescent="0.25"/>
    <row r="227" ht="27.75" customHeight="1" x14ac:dyDescent="0.25"/>
    <row r="228" ht="27.75" customHeight="1" x14ac:dyDescent="0.25"/>
    <row r="229" ht="27.75" customHeight="1" x14ac:dyDescent="0.25"/>
    <row r="230" ht="27.75" customHeight="1" x14ac:dyDescent="0.25"/>
    <row r="231" ht="27.75" customHeight="1" x14ac:dyDescent="0.25"/>
    <row r="232" ht="27.75" customHeight="1" x14ac:dyDescent="0.25"/>
    <row r="233" ht="27.75" customHeight="1" x14ac:dyDescent="0.25"/>
    <row r="234" ht="27.75" customHeight="1" x14ac:dyDescent="0.25"/>
    <row r="235" ht="27.75" customHeight="1" x14ac:dyDescent="0.25"/>
    <row r="236" ht="27.75" customHeight="1" x14ac:dyDescent="0.25"/>
    <row r="237" ht="27.75" customHeight="1" x14ac:dyDescent="0.25"/>
    <row r="238" ht="27.75" customHeight="1" x14ac:dyDescent="0.25"/>
    <row r="239" ht="27.75" customHeight="1" x14ac:dyDescent="0.25"/>
    <row r="240" ht="27.75" customHeight="1" x14ac:dyDescent="0.25"/>
    <row r="241" ht="27.75" customHeight="1" x14ac:dyDescent="0.25"/>
    <row r="242" ht="27.75" customHeight="1" x14ac:dyDescent="0.25"/>
    <row r="243" ht="27.75" customHeight="1" x14ac:dyDescent="0.25"/>
    <row r="244" ht="27.75" customHeight="1" x14ac:dyDescent="0.25"/>
    <row r="245" ht="27.75" customHeight="1" x14ac:dyDescent="0.25"/>
    <row r="246" ht="27.75" customHeight="1" x14ac:dyDescent="0.25"/>
    <row r="247" ht="27.75" customHeight="1" x14ac:dyDescent="0.25"/>
    <row r="248" ht="27.75" customHeight="1" x14ac:dyDescent="0.25"/>
    <row r="249" ht="27.75" customHeight="1" x14ac:dyDescent="0.25"/>
    <row r="250" ht="27.75" customHeight="1" x14ac:dyDescent="0.25"/>
    <row r="251" ht="27.75" customHeight="1" x14ac:dyDescent="0.25"/>
    <row r="252" ht="27.75" customHeight="1" x14ac:dyDescent="0.25"/>
    <row r="253" ht="27.75" customHeight="1" x14ac:dyDescent="0.25"/>
    <row r="254" ht="27.75" customHeight="1" x14ac:dyDescent="0.25"/>
    <row r="255" ht="27.75" customHeight="1" x14ac:dyDescent="0.25"/>
    <row r="256" ht="27.75" customHeight="1" x14ac:dyDescent="0.25"/>
    <row r="257" ht="27.75" customHeight="1" x14ac:dyDescent="0.25"/>
    <row r="258" ht="27.75" customHeight="1" x14ac:dyDescent="0.25"/>
    <row r="259" ht="27.75" customHeight="1" x14ac:dyDescent="0.25"/>
    <row r="260" ht="27.75" customHeight="1" x14ac:dyDescent="0.25"/>
    <row r="261" ht="27.75" customHeight="1" x14ac:dyDescent="0.25"/>
    <row r="262" ht="27.75" customHeight="1" x14ac:dyDescent="0.25"/>
    <row r="263" ht="27.75" customHeight="1" x14ac:dyDescent="0.25"/>
    <row r="264" ht="27.75" customHeight="1" x14ac:dyDescent="0.25"/>
    <row r="265" ht="27.75" customHeight="1" x14ac:dyDescent="0.25"/>
    <row r="266" ht="27.75" customHeight="1" x14ac:dyDescent="0.25"/>
    <row r="267" ht="27.75" customHeight="1" x14ac:dyDescent="0.25"/>
    <row r="268" ht="27.75" customHeight="1" x14ac:dyDescent="0.25"/>
    <row r="269" ht="27.75" customHeight="1" x14ac:dyDescent="0.25"/>
    <row r="270" ht="27.75" customHeight="1" x14ac:dyDescent="0.25"/>
    <row r="271" ht="27.75" customHeight="1" x14ac:dyDescent="0.25"/>
    <row r="272" ht="27.75" customHeight="1" x14ac:dyDescent="0.25"/>
    <row r="273" ht="27.75" customHeight="1" x14ac:dyDescent="0.25"/>
    <row r="274" ht="27.75" customHeight="1" x14ac:dyDescent="0.25"/>
    <row r="275" ht="27.75" customHeight="1" x14ac:dyDescent="0.25"/>
    <row r="276" ht="27.75" customHeight="1" x14ac:dyDescent="0.25"/>
    <row r="277" ht="27.75" customHeight="1" x14ac:dyDescent="0.25"/>
    <row r="278" ht="27.75" customHeight="1" x14ac:dyDescent="0.25"/>
    <row r="279" ht="27.75" customHeight="1" x14ac:dyDescent="0.25"/>
    <row r="280" ht="27.75" customHeight="1" x14ac:dyDescent="0.25"/>
    <row r="281" ht="27.75" customHeight="1" x14ac:dyDescent="0.25"/>
    <row r="282" ht="27.75" customHeight="1" x14ac:dyDescent="0.25"/>
    <row r="283" ht="27.75" customHeight="1" x14ac:dyDescent="0.25"/>
    <row r="284" ht="27.75" customHeight="1" x14ac:dyDescent="0.25"/>
    <row r="285" ht="27.75" customHeight="1" x14ac:dyDescent="0.25"/>
    <row r="286" ht="27.75" customHeight="1" x14ac:dyDescent="0.25"/>
    <row r="287" ht="27.75" customHeight="1" x14ac:dyDescent="0.25"/>
    <row r="288" ht="27.75" customHeight="1" x14ac:dyDescent="0.25"/>
    <row r="289" ht="27.75" customHeight="1" x14ac:dyDescent="0.25"/>
    <row r="290" ht="27.75" customHeight="1" x14ac:dyDescent="0.25"/>
    <row r="291" ht="27.75" customHeight="1" x14ac:dyDescent="0.25"/>
    <row r="292" ht="27.75" customHeight="1" x14ac:dyDescent="0.25"/>
    <row r="293" ht="27.75" customHeight="1" x14ac:dyDescent="0.25"/>
    <row r="294" ht="27.75" customHeight="1" x14ac:dyDescent="0.25"/>
    <row r="295" ht="27.75" customHeight="1" x14ac:dyDescent="0.25"/>
    <row r="296" ht="27.75" customHeight="1" x14ac:dyDescent="0.25"/>
    <row r="297" ht="27.75" customHeight="1" x14ac:dyDescent="0.25"/>
    <row r="298" ht="27.75" customHeight="1" x14ac:dyDescent="0.25"/>
    <row r="299" ht="27.75" customHeight="1" x14ac:dyDescent="0.25"/>
    <row r="300" ht="27.75" customHeight="1" x14ac:dyDescent="0.25"/>
    <row r="301" ht="27.75" customHeight="1" x14ac:dyDescent="0.25"/>
    <row r="302" ht="27.75" customHeight="1" x14ac:dyDescent="0.25"/>
    <row r="303" ht="27.75" customHeight="1" x14ac:dyDescent="0.25"/>
    <row r="304" ht="27.75" customHeight="1" x14ac:dyDescent="0.25"/>
    <row r="305" ht="27.75" customHeight="1" x14ac:dyDescent="0.25"/>
    <row r="306" ht="27.75" customHeight="1" x14ac:dyDescent="0.25"/>
    <row r="307" ht="27.75" customHeight="1" x14ac:dyDescent="0.25"/>
    <row r="308" ht="27.75" customHeight="1" x14ac:dyDescent="0.25"/>
    <row r="309" ht="27.75" customHeight="1" x14ac:dyDescent="0.25"/>
    <row r="310" ht="27.75" customHeight="1" x14ac:dyDescent="0.25"/>
    <row r="311" ht="27.75" customHeight="1" x14ac:dyDescent="0.25"/>
    <row r="312" ht="27.75" customHeight="1" x14ac:dyDescent="0.25"/>
    <row r="313" ht="27.75" customHeight="1" x14ac:dyDescent="0.25"/>
    <row r="314" ht="27.75" customHeight="1" x14ac:dyDescent="0.25"/>
    <row r="315" ht="65.25" customHeight="1" x14ac:dyDescent="0.25"/>
    <row r="316" ht="65.25" customHeight="1" x14ac:dyDescent="0.25"/>
    <row r="317" ht="65.25" customHeight="1" x14ac:dyDescent="0.25"/>
    <row r="318" ht="65.25" customHeight="1" x14ac:dyDescent="0.25"/>
    <row r="319" ht="65.25" customHeight="1" x14ac:dyDescent="0.25"/>
    <row r="320" ht="65.25" customHeight="1" x14ac:dyDescent="0.25"/>
    <row r="321" ht="65.25" customHeight="1" x14ac:dyDescent="0.25"/>
    <row r="322" ht="65.25" customHeight="1" x14ac:dyDescent="0.25"/>
    <row r="323" ht="65.25" customHeight="1" x14ac:dyDescent="0.25"/>
    <row r="324" ht="27.75" customHeight="1" x14ac:dyDescent="0.25"/>
    <row r="325" ht="27.75" customHeight="1" x14ac:dyDescent="0.25"/>
    <row r="326" ht="27.75" customHeight="1" x14ac:dyDescent="0.25"/>
  </sheetData>
  <mergeCells count="27">
    <mergeCell ref="A93:A105"/>
    <mergeCell ref="B93:B105"/>
    <mergeCell ref="A65:A66"/>
    <mergeCell ref="B65:B66"/>
    <mergeCell ref="B67:B79"/>
    <mergeCell ref="A67:A79"/>
    <mergeCell ref="A80:A92"/>
    <mergeCell ref="B80:B92"/>
    <mergeCell ref="B39:B49"/>
    <mergeCell ref="A39:A49"/>
    <mergeCell ref="A50:A59"/>
    <mergeCell ref="B50:B59"/>
    <mergeCell ref="A60:A64"/>
    <mergeCell ref="B60:B64"/>
    <mergeCell ref="B7:B14"/>
    <mergeCell ref="A7:A14"/>
    <mergeCell ref="B15:B33"/>
    <mergeCell ref="A15:A33"/>
    <mergeCell ref="B34:B38"/>
    <mergeCell ref="A34:A38"/>
    <mergeCell ref="A2:G2"/>
    <mergeCell ref="F5:G5"/>
    <mergeCell ref="A5:A6"/>
    <mergeCell ref="C5:C6"/>
    <mergeCell ref="D5:D6"/>
    <mergeCell ref="E5:E6"/>
    <mergeCell ref="B5:B6"/>
  </mergeCells>
  <pageMargins left="0.25" right="0.25"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election activeCell="R21" sqref="R21"/>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M24"/>
  <sheetViews>
    <sheetView workbookViewId="0">
      <selection sqref="A1:M26"/>
    </sheetView>
  </sheetViews>
  <sheetFormatPr defaultRowHeight="15" x14ac:dyDescent="0.25"/>
  <sheetData>
    <row r="2" spans="1:13" x14ac:dyDescent="0.25">
      <c r="E2" t="s">
        <v>263</v>
      </c>
    </row>
    <row r="4" spans="1:13" ht="15" customHeight="1" x14ac:dyDescent="0.25">
      <c r="A4" s="240" t="s">
        <v>0</v>
      </c>
      <c r="B4" s="240"/>
      <c r="C4" s="240"/>
      <c r="D4" s="240"/>
      <c r="E4" s="240"/>
      <c r="F4" s="240"/>
      <c r="G4" s="240"/>
      <c r="H4" s="240"/>
      <c r="I4" s="240"/>
      <c r="J4" s="240"/>
      <c r="K4" s="240"/>
      <c r="L4" s="240"/>
      <c r="M4" s="240"/>
    </row>
    <row r="6" spans="1:13" ht="15.75" thickBot="1" x14ac:dyDescent="0.3"/>
    <row r="7" spans="1:13" ht="15" customHeight="1" x14ac:dyDescent="0.25">
      <c r="A7" s="234" t="s">
        <v>7</v>
      </c>
      <c r="B7" s="235"/>
      <c r="C7" s="235"/>
      <c r="D7" s="235"/>
      <c r="E7" s="235"/>
      <c r="F7" s="235"/>
      <c r="G7" s="235"/>
      <c r="H7" s="235"/>
      <c r="I7" s="235"/>
      <c r="J7" s="235"/>
      <c r="K7" s="235"/>
      <c r="L7" s="235"/>
      <c r="M7" s="236"/>
    </row>
    <row r="8" spans="1:13" ht="18" customHeight="1" thickBot="1" x14ac:dyDescent="0.3">
      <c r="A8" s="237"/>
      <c r="B8" s="238"/>
      <c r="C8" s="238"/>
      <c r="D8" s="238"/>
      <c r="E8" s="238"/>
      <c r="F8" s="238"/>
      <c r="G8" s="238"/>
      <c r="H8" s="238"/>
      <c r="I8" s="238"/>
      <c r="J8" s="238"/>
      <c r="K8" s="238"/>
      <c r="L8" s="238"/>
      <c r="M8" s="239"/>
    </row>
    <row r="9" spans="1:13" ht="18.75" customHeight="1" x14ac:dyDescent="0.25">
      <c r="A9" s="241" t="s">
        <v>1</v>
      </c>
      <c r="B9" s="242"/>
      <c r="C9" s="242"/>
      <c r="D9" s="242"/>
      <c r="E9" s="242"/>
      <c r="F9" s="242"/>
      <c r="G9" s="243"/>
      <c r="H9" s="3" t="s">
        <v>2</v>
      </c>
      <c r="I9" s="3" t="s">
        <v>3</v>
      </c>
      <c r="J9" s="3" t="s">
        <v>4</v>
      </c>
      <c r="K9" s="3" t="s">
        <v>5</v>
      </c>
      <c r="L9" s="3" t="s">
        <v>6</v>
      </c>
      <c r="M9" s="5" t="s">
        <v>22</v>
      </c>
    </row>
    <row r="10" spans="1:13" ht="18.75" customHeight="1" x14ac:dyDescent="0.25">
      <c r="A10" s="244" t="s">
        <v>8</v>
      </c>
      <c r="B10" s="245"/>
      <c r="C10" s="245"/>
      <c r="D10" s="245"/>
      <c r="E10" s="245"/>
      <c r="F10" s="245"/>
      <c r="G10" s="246"/>
      <c r="H10" s="1"/>
      <c r="I10" s="6"/>
      <c r="J10" s="6"/>
      <c r="K10" s="6"/>
      <c r="L10" s="6"/>
      <c r="M10" s="8"/>
    </row>
    <row r="11" spans="1:13" ht="18.75" customHeight="1" x14ac:dyDescent="0.25">
      <c r="A11" s="244" t="s">
        <v>9</v>
      </c>
      <c r="B11" s="245"/>
      <c r="C11" s="245"/>
      <c r="D11" s="245"/>
      <c r="E11" s="245"/>
      <c r="F11" s="245"/>
      <c r="G11" s="246"/>
      <c r="H11" s="1"/>
      <c r="I11" s="6"/>
      <c r="J11" s="6"/>
      <c r="K11" s="6"/>
      <c r="L11" s="6"/>
      <c r="M11" s="8"/>
    </row>
    <row r="12" spans="1:13" ht="79.5" customHeight="1" x14ac:dyDescent="0.25">
      <c r="A12" s="227" t="s">
        <v>10</v>
      </c>
      <c r="B12" s="228"/>
      <c r="C12" s="228"/>
      <c r="D12" s="228"/>
      <c r="E12" s="228"/>
      <c r="F12" s="228"/>
      <c r="G12" s="229"/>
      <c r="H12" s="6">
        <v>34</v>
      </c>
      <c r="I12" s="11">
        <v>22</v>
      </c>
      <c r="J12" s="19">
        <v>40</v>
      </c>
      <c r="K12" s="6">
        <v>12</v>
      </c>
      <c r="L12" s="6">
        <v>8</v>
      </c>
      <c r="M12" s="22">
        <f>H12+I12+J12+K12+L12</f>
        <v>116</v>
      </c>
    </row>
    <row r="13" spans="1:13" ht="93" customHeight="1" x14ac:dyDescent="0.25">
      <c r="A13" s="227" t="s">
        <v>11</v>
      </c>
      <c r="B13" s="228"/>
      <c r="C13" s="228"/>
      <c r="D13" s="228"/>
      <c r="E13" s="228"/>
      <c r="F13" s="228"/>
      <c r="G13" s="229"/>
      <c r="H13" s="6">
        <v>30</v>
      </c>
      <c r="I13" s="11">
        <v>5</v>
      </c>
      <c r="J13" s="20">
        <v>15</v>
      </c>
      <c r="K13" s="6">
        <v>34</v>
      </c>
      <c r="L13" s="6">
        <v>22</v>
      </c>
      <c r="M13" s="22">
        <f t="shared" ref="M13:M23" si="0">H13+I13+J13+K13+L13</f>
        <v>106</v>
      </c>
    </row>
    <row r="14" spans="1:13" ht="20.25" customHeight="1" x14ac:dyDescent="0.25">
      <c r="A14" s="227" t="s">
        <v>14</v>
      </c>
      <c r="B14" s="228"/>
      <c r="C14" s="228"/>
      <c r="D14" s="228"/>
      <c r="E14" s="228"/>
      <c r="F14" s="228"/>
      <c r="G14" s="229"/>
      <c r="H14" s="6">
        <v>159</v>
      </c>
      <c r="I14" s="11">
        <v>43</v>
      </c>
      <c r="J14" s="20">
        <v>64</v>
      </c>
      <c r="K14" s="6">
        <v>79</v>
      </c>
      <c r="L14" s="6">
        <f>86+15</f>
        <v>101</v>
      </c>
      <c r="M14" s="22">
        <f t="shared" si="0"/>
        <v>446</v>
      </c>
    </row>
    <row r="15" spans="1:13" ht="18.75" customHeight="1" x14ac:dyDescent="0.25">
      <c r="A15" s="227" t="s">
        <v>15</v>
      </c>
      <c r="B15" s="228"/>
      <c r="C15" s="228"/>
      <c r="D15" s="228"/>
      <c r="E15" s="228"/>
      <c r="F15" s="228"/>
      <c r="G15" s="229"/>
      <c r="H15" s="6">
        <v>3</v>
      </c>
      <c r="I15" s="11">
        <v>1</v>
      </c>
      <c r="J15" s="20">
        <v>0</v>
      </c>
      <c r="K15" s="6">
        <v>0</v>
      </c>
      <c r="L15" s="6">
        <v>1</v>
      </c>
      <c r="M15" s="22">
        <f t="shared" si="0"/>
        <v>5</v>
      </c>
    </row>
    <row r="16" spans="1:13" ht="31.5" customHeight="1" x14ac:dyDescent="0.25">
      <c r="A16" s="227" t="s">
        <v>16</v>
      </c>
      <c r="B16" s="228"/>
      <c r="C16" s="228"/>
      <c r="D16" s="228"/>
      <c r="E16" s="228"/>
      <c r="F16" s="228"/>
      <c r="G16" s="229"/>
      <c r="H16" s="6">
        <v>18</v>
      </c>
      <c r="I16" s="11">
        <v>5</v>
      </c>
      <c r="J16" s="20">
        <v>1</v>
      </c>
      <c r="K16" s="6">
        <v>7</v>
      </c>
      <c r="L16" s="6">
        <v>4</v>
      </c>
      <c r="M16" s="22">
        <f t="shared" si="0"/>
        <v>35</v>
      </c>
    </row>
    <row r="17" spans="1:13" ht="49.5" customHeight="1" x14ac:dyDescent="0.25">
      <c r="A17" s="227" t="s">
        <v>17</v>
      </c>
      <c r="B17" s="228"/>
      <c r="C17" s="228"/>
      <c r="D17" s="228"/>
      <c r="E17" s="228"/>
      <c r="F17" s="228"/>
      <c r="G17" s="229"/>
      <c r="H17" s="6">
        <v>5</v>
      </c>
      <c r="I17" s="11">
        <v>0</v>
      </c>
      <c r="J17" s="20">
        <v>3</v>
      </c>
      <c r="K17" s="6">
        <v>6</v>
      </c>
      <c r="L17" s="6">
        <v>0</v>
      </c>
      <c r="M17" s="22">
        <f t="shared" si="0"/>
        <v>14</v>
      </c>
    </row>
    <row r="18" spans="1:13" ht="36" customHeight="1" x14ac:dyDescent="0.25">
      <c r="A18" s="227" t="s">
        <v>13</v>
      </c>
      <c r="B18" s="228"/>
      <c r="C18" s="228"/>
      <c r="D18" s="228"/>
      <c r="E18" s="228"/>
      <c r="F18" s="228"/>
      <c r="G18" s="229"/>
      <c r="H18" s="6">
        <v>4</v>
      </c>
      <c r="I18" s="11">
        <v>5</v>
      </c>
      <c r="J18" s="20">
        <v>3</v>
      </c>
      <c r="K18" s="6">
        <v>0</v>
      </c>
      <c r="L18" s="6">
        <v>5</v>
      </c>
      <c r="M18" s="22">
        <f t="shared" si="0"/>
        <v>17</v>
      </c>
    </row>
    <row r="19" spans="1:13" ht="54" customHeight="1" x14ac:dyDescent="0.25">
      <c r="A19" s="227" t="s">
        <v>12</v>
      </c>
      <c r="B19" s="228"/>
      <c r="C19" s="228"/>
      <c r="D19" s="228"/>
      <c r="E19" s="228"/>
      <c r="F19" s="228"/>
      <c r="G19" s="229"/>
      <c r="H19" s="6">
        <v>2</v>
      </c>
      <c r="I19" s="11">
        <v>2</v>
      </c>
      <c r="J19" s="20">
        <v>0</v>
      </c>
      <c r="K19" s="6">
        <v>2</v>
      </c>
      <c r="L19" s="6">
        <v>0</v>
      </c>
      <c r="M19" s="22">
        <f t="shared" si="0"/>
        <v>6</v>
      </c>
    </row>
    <row r="20" spans="1:13" ht="36.75" customHeight="1" x14ac:dyDescent="0.25">
      <c r="A20" s="227" t="s">
        <v>18</v>
      </c>
      <c r="B20" s="228"/>
      <c r="C20" s="228"/>
      <c r="D20" s="228"/>
      <c r="E20" s="228"/>
      <c r="F20" s="228"/>
      <c r="G20" s="229"/>
      <c r="H20" s="6">
        <v>3</v>
      </c>
      <c r="I20" s="11">
        <v>1</v>
      </c>
      <c r="J20" s="20">
        <v>1</v>
      </c>
      <c r="K20" s="6">
        <v>0</v>
      </c>
      <c r="L20" s="6">
        <v>1</v>
      </c>
      <c r="M20" s="22">
        <f t="shared" si="0"/>
        <v>6</v>
      </c>
    </row>
    <row r="21" spans="1:13" ht="35.25" customHeight="1" x14ac:dyDescent="0.25">
      <c r="A21" s="227" t="s">
        <v>19</v>
      </c>
      <c r="B21" s="228"/>
      <c r="C21" s="228"/>
      <c r="D21" s="228"/>
      <c r="E21" s="228"/>
      <c r="F21" s="228"/>
      <c r="G21" s="229"/>
      <c r="H21" s="6">
        <v>0</v>
      </c>
      <c r="I21" s="11">
        <v>1</v>
      </c>
      <c r="J21" s="20">
        <v>0</v>
      </c>
      <c r="K21" s="6">
        <v>0</v>
      </c>
      <c r="L21" s="6">
        <v>0</v>
      </c>
      <c r="M21" s="22">
        <f t="shared" si="0"/>
        <v>1</v>
      </c>
    </row>
    <row r="22" spans="1:13" ht="51.75" customHeight="1" x14ac:dyDescent="0.25">
      <c r="A22" s="230" t="s">
        <v>20</v>
      </c>
      <c r="B22" s="231"/>
      <c r="C22" s="231"/>
      <c r="D22" s="231"/>
      <c r="E22" s="231"/>
      <c r="F22" s="231"/>
      <c r="G22" s="232"/>
      <c r="H22" s="68">
        <v>0</v>
      </c>
      <c r="I22" s="69">
        <v>0</v>
      </c>
      <c r="J22" s="70">
        <v>0</v>
      </c>
      <c r="K22" s="68">
        <v>0</v>
      </c>
      <c r="L22" s="68">
        <v>0</v>
      </c>
      <c r="M22" s="71">
        <f t="shared" si="0"/>
        <v>0</v>
      </c>
    </row>
    <row r="23" spans="1:13" ht="97.5" customHeight="1" x14ac:dyDescent="0.25">
      <c r="A23" s="233" t="s">
        <v>21</v>
      </c>
      <c r="B23" s="233"/>
      <c r="C23" s="233"/>
      <c r="D23" s="233"/>
      <c r="E23" s="233"/>
      <c r="F23" s="233"/>
      <c r="G23" s="233"/>
      <c r="H23" s="6">
        <v>0</v>
      </c>
      <c r="I23" s="11">
        <v>0</v>
      </c>
      <c r="J23" s="11">
        <v>0</v>
      </c>
      <c r="K23" s="6">
        <v>0</v>
      </c>
      <c r="L23" s="6">
        <v>0</v>
      </c>
      <c r="M23" s="72">
        <f t="shared" si="0"/>
        <v>0</v>
      </c>
    </row>
    <row r="24" spans="1:13" ht="15.75" x14ac:dyDescent="0.25">
      <c r="A24" s="224" t="s">
        <v>264</v>
      </c>
      <c r="B24" s="225"/>
      <c r="C24" s="225"/>
      <c r="D24" s="225"/>
      <c r="E24" s="225"/>
      <c r="F24" s="225"/>
      <c r="G24" s="226"/>
      <c r="H24" s="74">
        <f>SUM(H12:H23)</f>
        <v>258</v>
      </c>
      <c r="I24" s="74">
        <f t="shared" ref="I24:M24" si="1">SUM(I12:I23)</f>
        <v>85</v>
      </c>
      <c r="J24" s="74">
        <f t="shared" si="1"/>
        <v>127</v>
      </c>
      <c r="K24" s="74">
        <f t="shared" si="1"/>
        <v>140</v>
      </c>
      <c r="L24" s="74">
        <f t="shared" si="1"/>
        <v>142</v>
      </c>
      <c r="M24" s="74">
        <f t="shared" si="1"/>
        <v>752</v>
      </c>
    </row>
  </sheetData>
  <mergeCells count="18">
    <mergeCell ref="A16:G16"/>
    <mergeCell ref="A17:G17"/>
    <mergeCell ref="A18:G18"/>
    <mergeCell ref="A9:G9"/>
    <mergeCell ref="A10:G10"/>
    <mergeCell ref="A11:G11"/>
    <mergeCell ref="A12:G12"/>
    <mergeCell ref="A7:M8"/>
    <mergeCell ref="A13:G13"/>
    <mergeCell ref="A14:G14"/>
    <mergeCell ref="A15:G15"/>
    <mergeCell ref="A4:M4"/>
    <mergeCell ref="A24:G24"/>
    <mergeCell ref="A19:G19"/>
    <mergeCell ref="A20:G20"/>
    <mergeCell ref="A21:G21"/>
    <mergeCell ref="A22:G22"/>
    <mergeCell ref="A23:G23"/>
  </mergeCells>
  <pageMargins left="0.2" right="0.2" top="0.75" bottom="0.75" header="0.3" footer="0.3"/>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M14"/>
  <sheetViews>
    <sheetView topLeftCell="A11" workbookViewId="0">
      <selection activeCell="F24" sqref="F24"/>
    </sheetView>
  </sheetViews>
  <sheetFormatPr defaultRowHeight="15" x14ac:dyDescent="0.25"/>
  <sheetData>
    <row r="2" spans="1:13" ht="15.75" x14ac:dyDescent="0.25">
      <c r="D2" s="77" t="s">
        <v>263</v>
      </c>
    </row>
    <row r="4" spans="1:13" ht="33" customHeight="1" x14ac:dyDescent="0.25">
      <c r="A4" s="247" t="s">
        <v>262</v>
      </c>
      <c r="B4" s="247"/>
      <c r="C4" s="247"/>
      <c r="D4" s="247"/>
      <c r="E4" s="247"/>
      <c r="F4" s="247"/>
      <c r="G4" s="247"/>
      <c r="H4" s="247"/>
      <c r="I4" s="247"/>
      <c r="J4" s="247"/>
      <c r="K4" s="247"/>
      <c r="L4" s="247"/>
      <c r="M4" s="75"/>
    </row>
    <row r="6" spans="1:13" ht="15.75" thickBot="1" x14ac:dyDescent="0.3"/>
    <row r="7" spans="1:13" x14ac:dyDescent="0.25">
      <c r="A7" s="254" t="s">
        <v>23</v>
      </c>
      <c r="B7" s="255"/>
      <c r="C7" s="255"/>
      <c r="D7" s="255"/>
      <c r="E7" s="255"/>
      <c r="F7" s="255"/>
      <c r="G7" s="255"/>
      <c r="H7" s="255"/>
      <c r="I7" s="255"/>
      <c r="J7" s="255"/>
      <c r="K7" s="255"/>
      <c r="L7" s="256"/>
    </row>
    <row r="8" spans="1:13" ht="24.75" customHeight="1" thickBot="1" x14ac:dyDescent="0.3">
      <c r="A8" s="257"/>
      <c r="B8" s="258"/>
      <c r="C8" s="258"/>
      <c r="D8" s="258"/>
      <c r="E8" s="258"/>
      <c r="F8" s="258"/>
      <c r="G8" s="258"/>
      <c r="H8" s="258"/>
      <c r="I8" s="258"/>
      <c r="J8" s="258"/>
      <c r="K8" s="258"/>
      <c r="L8" s="259"/>
    </row>
    <row r="9" spans="1:13" ht="18" customHeight="1" x14ac:dyDescent="0.25">
      <c r="A9" s="241" t="s">
        <v>1</v>
      </c>
      <c r="B9" s="242"/>
      <c r="C9" s="242"/>
      <c r="D9" s="242"/>
      <c r="E9" s="242"/>
      <c r="F9" s="242"/>
      <c r="G9" s="3" t="s">
        <v>2</v>
      </c>
      <c r="H9" s="3" t="s">
        <v>3</v>
      </c>
      <c r="I9" s="3" t="s">
        <v>4</v>
      </c>
      <c r="J9" s="3" t="s">
        <v>5</v>
      </c>
      <c r="K9" s="3" t="s">
        <v>6</v>
      </c>
      <c r="L9" s="5" t="s">
        <v>22</v>
      </c>
    </row>
    <row r="10" spans="1:13" ht="18" customHeight="1" x14ac:dyDescent="0.25">
      <c r="A10" s="244" t="s">
        <v>24</v>
      </c>
      <c r="B10" s="245"/>
      <c r="C10" s="245"/>
      <c r="D10" s="245"/>
      <c r="E10" s="245"/>
      <c r="F10" s="245"/>
      <c r="G10" s="10"/>
      <c r="H10" s="1"/>
      <c r="I10" s="1"/>
      <c r="J10" s="1"/>
      <c r="K10" s="1"/>
      <c r="L10" s="2"/>
    </row>
    <row r="11" spans="1:13" ht="18" customHeight="1" x14ac:dyDescent="0.25">
      <c r="A11" s="244" t="s">
        <v>25</v>
      </c>
      <c r="B11" s="245"/>
      <c r="C11" s="245"/>
      <c r="D11" s="245"/>
      <c r="E11" s="245"/>
      <c r="F11" s="245"/>
      <c r="G11" s="10"/>
      <c r="H11" s="1"/>
      <c r="I11" s="1"/>
      <c r="J11" s="1"/>
      <c r="K11" s="1"/>
      <c r="L11" s="2"/>
    </row>
    <row r="12" spans="1:13" ht="93.75" customHeight="1" x14ac:dyDescent="0.25">
      <c r="A12" s="248" t="s">
        <v>26</v>
      </c>
      <c r="B12" s="249"/>
      <c r="C12" s="249"/>
      <c r="D12" s="249"/>
      <c r="E12" s="249"/>
      <c r="F12" s="250"/>
      <c r="G12" s="11">
        <f>624-34-74</f>
        <v>516</v>
      </c>
      <c r="H12" s="6">
        <f>305-66</f>
        <v>239</v>
      </c>
      <c r="I12" s="6">
        <v>303</v>
      </c>
      <c r="J12" s="6">
        <v>284</v>
      </c>
      <c r="K12" s="6">
        <v>188</v>
      </c>
      <c r="L12" s="8">
        <f>G12+H12+I12+J12+K12</f>
        <v>1530</v>
      </c>
    </row>
    <row r="13" spans="1:13" ht="123" customHeight="1" x14ac:dyDescent="0.25">
      <c r="A13" s="248" t="s">
        <v>27</v>
      </c>
      <c r="B13" s="249"/>
      <c r="C13" s="249"/>
      <c r="D13" s="249"/>
      <c r="E13" s="249"/>
      <c r="F13" s="250"/>
      <c r="G13" s="6">
        <v>470</v>
      </c>
      <c r="H13" s="6">
        <v>100</v>
      </c>
      <c r="I13" s="6">
        <v>376</v>
      </c>
      <c r="J13" s="6">
        <v>329</v>
      </c>
      <c r="K13" s="6">
        <f>1388-1275</f>
        <v>113</v>
      </c>
      <c r="L13" s="8">
        <f t="shared" ref="L13:L14" si="0">G13+H13+I13+J13+K13</f>
        <v>1388</v>
      </c>
    </row>
    <row r="14" spans="1:13" ht="109.5" customHeight="1" thickBot="1" x14ac:dyDescent="0.3">
      <c r="A14" s="251" t="s">
        <v>28</v>
      </c>
      <c r="B14" s="252"/>
      <c r="C14" s="252"/>
      <c r="D14" s="252"/>
      <c r="E14" s="252"/>
      <c r="F14" s="253"/>
      <c r="G14" s="7">
        <v>341</v>
      </c>
      <c r="H14" s="7">
        <v>385</v>
      </c>
      <c r="I14" s="7">
        <v>320</v>
      </c>
      <c r="J14" s="7">
        <v>68</v>
      </c>
      <c r="K14" s="7">
        <v>209</v>
      </c>
      <c r="L14" s="9">
        <f t="shared" si="0"/>
        <v>1323</v>
      </c>
    </row>
  </sheetData>
  <mergeCells count="8">
    <mergeCell ref="A4:L4"/>
    <mergeCell ref="A13:F13"/>
    <mergeCell ref="A14:F14"/>
    <mergeCell ref="A7:L8"/>
    <mergeCell ref="A9:F9"/>
    <mergeCell ref="A10:F10"/>
    <mergeCell ref="A11:F11"/>
    <mergeCell ref="A12:F12"/>
  </mergeCells>
  <pageMargins left="0.2" right="0.2" top="0.75" bottom="0.75" header="0.3" footer="0.3"/>
  <pageSetup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O27"/>
  <sheetViews>
    <sheetView workbookViewId="0">
      <selection activeCell="E2" sqref="E2"/>
    </sheetView>
  </sheetViews>
  <sheetFormatPr defaultRowHeight="15" x14ac:dyDescent="0.25"/>
  <sheetData>
    <row r="2" spans="1:15" x14ac:dyDescent="0.25">
      <c r="E2" t="s">
        <v>263</v>
      </c>
    </row>
    <row r="3" spans="1:15" ht="15" customHeight="1" x14ac:dyDescent="0.25">
      <c r="A3" s="4"/>
      <c r="B3" s="12"/>
      <c r="C3" s="12"/>
      <c r="D3" s="12"/>
      <c r="E3" s="12"/>
      <c r="F3" s="12"/>
      <c r="G3" s="12"/>
      <c r="H3" s="12"/>
      <c r="I3" s="12"/>
      <c r="J3" s="12"/>
      <c r="K3" s="12"/>
      <c r="L3" s="12"/>
      <c r="M3" s="12"/>
      <c r="N3" s="12"/>
      <c r="O3" s="12"/>
    </row>
    <row r="4" spans="1:15" x14ac:dyDescent="0.25">
      <c r="A4" s="247" t="s">
        <v>29</v>
      </c>
      <c r="B4" s="247"/>
      <c r="C4" s="247"/>
      <c r="D4" s="247"/>
      <c r="E4" s="247"/>
      <c r="F4" s="247"/>
      <c r="G4" s="247"/>
      <c r="H4" s="247"/>
      <c r="I4" s="247"/>
      <c r="J4" s="247"/>
      <c r="K4" s="247"/>
    </row>
    <row r="5" spans="1:15" x14ac:dyDescent="0.25">
      <c r="A5" s="247"/>
      <c r="B5" s="247"/>
      <c r="C5" s="247"/>
      <c r="D5" s="247"/>
      <c r="E5" s="247"/>
      <c r="F5" s="247"/>
      <c r="G5" s="247"/>
      <c r="H5" s="247"/>
      <c r="I5" s="247"/>
      <c r="J5" s="247"/>
      <c r="K5" s="247"/>
    </row>
    <row r="7" spans="1:15" ht="15.75" thickBot="1" x14ac:dyDescent="0.3"/>
    <row r="8" spans="1:15" x14ac:dyDescent="0.25">
      <c r="A8" s="234" t="s">
        <v>34</v>
      </c>
      <c r="B8" s="235"/>
      <c r="C8" s="235"/>
      <c r="D8" s="235"/>
      <c r="E8" s="235"/>
      <c r="F8" s="235"/>
      <c r="G8" s="235"/>
      <c r="H8" s="235"/>
      <c r="I8" s="235"/>
      <c r="J8" s="235"/>
      <c r="K8" s="235"/>
      <c r="L8" s="235"/>
      <c r="M8" s="236"/>
    </row>
    <row r="9" spans="1:15" ht="15.75" thickBot="1" x14ac:dyDescent="0.3">
      <c r="A9" s="237"/>
      <c r="B9" s="238"/>
      <c r="C9" s="238"/>
      <c r="D9" s="238"/>
      <c r="E9" s="238"/>
      <c r="F9" s="238"/>
      <c r="G9" s="238"/>
      <c r="H9" s="238"/>
      <c r="I9" s="238"/>
      <c r="J9" s="238"/>
      <c r="K9" s="238"/>
      <c r="L9" s="238"/>
      <c r="M9" s="239"/>
    </row>
    <row r="10" spans="1:15" ht="16.5" x14ac:dyDescent="0.25">
      <c r="A10" s="241" t="s">
        <v>1</v>
      </c>
      <c r="B10" s="242"/>
      <c r="C10" s="242"/>
      <c r="D10" s="242"/>
      <c r="E10" s="242"/>
      <c r="F10" s="242"/>
      <c r="G10" s="243"/>
      <c r="H10" s="23" t="s">
        <v>2</v>
      </c>
      <c r="I10" s="23" t="s">
        <v>3</v>
      </c>
      <c r="J10" s="23" t="s">
        <v>4</v>
      </c>
      <c r="K10" s="23" t="s">
        <v>5</v>
      </c>
      <c r="L10" s="23" t="s">
        <v>6</v>
      </c>
      <c r="M10" s="24" t="s">
        <v>22</v>
      </c>
    </row>
    <row r="11" spans="1:15" ht="15.75" x14ac:dyDescent="0.25">
      <c r="A11" s="244" t="s">
        <v>8</v>
      </c>
      <c r="B11" s="245"/>
      <c r="C11" s="245"/>
      <c r="D11" s="245"/>
      <c r="E11" s="245"/>
      <c r="F11" s="245"/>
      <c r="G11" s="246"/>
      <c r="H11" s="1"/>
      <c r="I11" s="6"/>
      <c r="J11" s="6"/>
      <c r="K11" s="6"/>
      <c r="L11" s="6"/>
      <c r="M11" s="8"/>
    </row>
    <row r="12" spans="1:15" ht="15.75" x14ac:dyDescent="0.25">
      <c r="A12" s="244" t="s">
        <v>9</v>
      </c>
      <c r="B12" s="245"/>
      <c r="C12" s="245"/>
      <c r="D12" s="245"/>
      <c r="E12" s="245"/>
      <c r="F12" s="245"/>
      <c r="G12" s="246"/>
      <c r="H12" s="1"/>
      <c r="I12" s="6"/>
      <c r="J12" s="6"/>
      <c r="K12" s="6"/>
      <c r="L12" s="6"/>
      <c r="M12" s="8"/>
    </row>
    <row r="13" spans="1:15" ht="82.5" customHeight="1" x14ac:dyDescent="0.25">
      <c r="A13" s="227" t="s">
        <v>10</v>
      </c>
      <c r="B13" s="228"/>
      <c r="C13" s="228"/>
      <c r="D13" s="228"/>
      <c r="E13" s="228"/>
      <c r="F13" s="228"/>
      <c r="G13" s="229"/>
      <c r="H13" s="6">
        <v>34</v>
      </c>
      <c r="I13" s="11">
        <v>22</v>
      </c>
      <c r="J13" s="19">
        <v>40</v>
      </c>
      <c r="K13" s="6">
        <v>12</v>
      </c>
      <c r="L13" s="6">
        <v>8</v>
      </c>
      <c r="M13" s="22">
        <f>H13+I13+J13+K13+L13</f>
        <v>116</v>
      </c>
    </row>
    <row r="14" spans="1:15" ht="98.25" customHeight="1" x14ac:dyDescent="0.25">
      <c r="A14" s="227" t="s">
        <v>11</v>
      </c>
      <c r="B14" s="228"/>
      <c r="C14" s="228"/>
      <c r="D14" s="228"/>
      <c r="E14" s="228"/>
      <c r="F14" s="228"/>
      <c r="G14" s="229"/>
      <c r="H14" s="6">
        <v>30</v>
      </c>
      <c r="I14" s="11">
        <v>5</v>
      </c>
      <c r="J14" s="20">
        <v>15</v>
      </c>
      <c r="K14" s="6">
        <v>34</v>
      </c>
      <c r="L14" s="6">
        <v>22</v>
      </c>
      <c r="M14" s="22">
        <f t="shared" ref="M14:M26" si="0">H14+I14+J14+K14+L14</f>
        <v>106</v>
      </c>
    </row>
    <row r="15" spans="1:15" ht="21" customHeight="1" x14ac:dyDescent="0.25">
      <c r="A15" s="227" t="s">
        <v>14</v>
      </c>
      <c r="B15" s="228"/>
      <c r="C15" s="228"/>
      <c r="D15" s="228"/>
      <c r="E15" s="228"/>
      <c r="F15" s="228"/>
      <c r="G15" s="229"/>
      <c r="H15" s="6">
        <v>153</v>
      </c>
      <c r="I15" s="11">
        <v>39</v>
      </c>
      <c r="J15" s="20">
        <v>61</v>
      </c>
      <c r="K15" s="6">
        <v>78</v>
      </c>
      <c r="L15" s="6">
        <v>97</v>
      </c>
      <c r="M15" s="22">
        <f t="shared" si="0"/>
        <v>428</v>
      </c>
    </row>
    <row r="16" spans="1:15" ht="33" customHeight="1" x14ac:dyDescent="0.25">
      <c r="A16" s="227" t="s">
        <v>32</v>
      </c>
      <c r="B16" s="228"/>
      <c r="C16" s="228"/>
      <c r="D16" s="228"/>
      <c r="E16" s="228"/>
      <c r="F16" s="228"/>
      <c r="G16" s="229"/>
      <c r="H16" s="6">
        <v>3</v>
      </c>
      <c r="I16" s="11">
        <v>1</v>
      </c>
      <c r="J16" s="20">
        <v>0</v>
      </c>
      <c r="K16" s="6">
        <v>0</v>
      </c>
      <c r="L16" s="6">
        <v>1</v>
      </c>
      <c r="M16" s="22">
        <f t="shared" si="0"/>
        <v>5</v>
      </c>
    </row>
    <row r="17" spans="1:13" ht="31.5" customHeight="1" x14ac:dyDescent="0.25">
      <c r="A17" s="227" t="s">
        <v>16</v>
      </c>
      <c r="B17" s="228"/>
      <c r="C17" s="228"/>
      <c r="D17" s="228"/>
      <c r="E17" s="228"/>
      <c r="F17" s="228"/>
      <c r="G17" s="229"/>
      <c r="H17" s="6">
        <v>17</v>
      </c>
      <c r="I17" s="11">
        <v>6</v>
      </c>
      <c r="J17" s="20">
        <v>2</v>
      </c>
      <c r="K17" s="6">
        <v>7</v>
      </c>
      <c r="L17" s="6">
        <v>6</v>
      </c>
      <c r="M17" s="22">
        <f t="shared" si="0"/>
        <v>38</v>
      </c>
    </row>
    <row r="18" spans="1:13" ht="52.5" customHeight="1" x14ac:dyDescent="0.25">
      <c r="A18" s="227" t="s">
        <v>33</v>
      </c>
      <c r="B18" s="228"/>
      <c r="C18" s="228"/>
      <c r="D18" s="228"/>
      <c r="E18" s="228"/>
      <c r="F18" s="228"/>
      <c r="G18" s="229"/>
      <c r="H18" s="6">
        <v>30</v>
      </c>
      <c r="I18" s="11">
        <v>21</v>
      </c>
      <c r="J18" s="20">
        <v>34</v>
      </c>
      <c r="K18" s="6">
        <v>16</v>
      </c>
      <c r="L18" s="6">
        <v>23</v>
      </c>
      <c r="M18" s="22">
        <f t="shared" si="0"/>
        <v>124</v>
      </c>
    </row>
    <row r="19" spans="1:13" ht="37.5" customHeight="1" x14ac:dyDescent="0.25">
      <c r="A19" s="227" t="s">
        <v>13</v>
      </c>
      <c r="B19" s="228"/>
      <c r="C19" s="228"/>
      <c r="D19" s="228"/>
      <c r="E19" s="228"/>
      <c r="F19" s="228"/>
      <c r="G19" s="229"/>
      <c r="H19" s="6">
        <v>0</v>
      </c>
      <c r="I19" s="11">
        <v>4</v>
      </c>
      <c r="J19" s="20">
        <v>0</v>
      </c>
      <c r="K19" s="6">
        <v>0</v>
      </c>
      <c r="L19" s="6">
        <v>1</v>
      </c>
      <c r="M19" s="22">
        <f t="shared" si="0"/>
        <v>5</v>
      </c>
    </row>
    <row r="20" spans="1:13" ht="48" customHeight="1" x14ac:dyDescent="0.25">
      <c r="A20" s="227" t="s">
        <v>12</v>
      </c>
      <c r="B20" s="228"/>
      <c r="C20" s="228"/>
      <c r="D20" s="228"/>
      <c r="E20" s="228"/>
      <c r="F20" s="228"/>
      <c r="G20" s="229"/>
      <c r="H20" s="6">
        <v>1</v>
      </c>
      <c r="I20" s="11">
        <v>2</v>
      </c>
      <c r="J20" s="20">
        <v>1</v>
      </c>
      <c r="K20" s="6">
        <v>2</v>
      </c>
      <c r="L20" s="6">
        <v>0</v>
      </c>
      <c r="M20" s="22">
        <f t="shared" si="0"/>
        <v>6</v>
      </c>
    </row>
    <row r="21" spans="1:13" ht="33" customHeight="1" x14ac:dyDescent="0.25">
      <c r="A21" s="227" t="s">
        <v>18</v>
      </c>
      <c r="B21" s="228"/>
      <c r="C21" s="228"/>
      <c r="D21" s="228"/>
      <c r="E21" s="228"/>
      <c r="F21" s="228"/>
      <c r="G21" s="229"/>
      <c r="H21" s="6">
        <v>1</v>
      </c>
      <c r="I21" s="11">
        <v>1</v>
      </c>
      <c r="J21" s="20">
        <v>1</v>
      </c>
      <c r="K21" s="6">
        <v>0</v>
      </c>
      <c r="L21" s="6">
        <v>1</v>
      </c>
      <c r="M21" s="22">
        <f t="shared" si="0"/>
        <v>4</v>
      </c>
    </row>
    <row r="22" spans="1:13" ht="35.25" customHeight="1" x14ac:dyDescent="0.25">
      <c r="A22" s="227" t="s">
        <v>19</v>
      </c>
      <c r="B22" s="228"/>
      <c r="C22" s="228"/>
      <c r="D22" s="228"/>
      <c r="E22" s="228"/>
      <c r="F22" s="228"/>
      <c r="G22" s="229"/>
      <c r="H22" s="6">
        <v>0</v>
      </c>
      <c r="I22" s="11">
        <v>1</v>
      </c>
      <c r="J22" s="20">
        <v>0</v>
      </c>
      <c r="K22" s="6">
        <v>0</v>
      </c>
      <c r="L22" s="6">
        <v>0</v>
      </c>
      <c r="M22" s="22">
        <f t="shared" si="0"/>
        <v>1</v>
      </c>
    </row>
    <row r="23" spans="1:13" ht="48" customHeight="1" x14ac:dyDescent="0.25">
      <c r="A23" s="227" t="s">
        <v>20</v>
      </c>
      <c r="B23" s="228"/>
      <c r="C23" s="228"/>
      <c r="D23" s="228"/>
      <c r="E23" s="228"/>
      <c r="F23" s="228"/>
      <c r="G23" s="229"/>
      <c r="H23" s="6">
        <v>0</v>
      </c>
      <c r="I23" s="11">
        <v>0</v>
      </c>
      <c r="J23" s="20">
        <v>0</v>
      </c>
      <c r="K23" s="6">
        <v>0</v>
      </c>
      <c r="L23" s="6">
        <v>0</v>
      </c>
      <c r="M23" s="22">
        <f t="shared" si="0"/>
        <v>0</v>
      </c>
    </row>
    <row r="24" spans="1:13" ht="98.25" customHeight="1" x14ac:dyDescent="0.25">
      <c r="A24" s="261" t="s">
        <v>21</v>
      </c>
      <c r="B24" s="233"/>
      <c r="C24" s="233"/>
      <c r="D24" s="233"/>
      <c r="E24" s="233"/>
      <c r="F24" s="233"/>
      <c r="G24" s="233"/>
      <c r="H24" s="6">
        <v>0</v>
      </c>
      <c r="I24" s="11">
        <v>0</v>
      </c>
      <c r="J24" s="20">
        <v>0</v>
      </c>
      <c r="K24" s="6">
        <v>0</v>
      </c>
      <c r="L24" s="6">
        <v>0</v>
      </c>
      <c r="M24" s="22">
        <f t="shared" si="0"/>
        <v>0</v>
      </c>
    </row>
    <row r="25" spans="1:13" ht="34.5" customHeight="1" x14ac:dyDescent="0.25">
      <c r="A25" s="230" t="s">
        <v>30</v>
      </c>
      <c r="B25" s="231"/>
      <c r="C25" s="231"/>
      <c r="D25" s="231"/>
      <c r="E25" s="231"/>
      <c r="F25" s="231"/>
      <c r="G25" s="232"/>
      <c r="H25" s="6">
        <v>0</v>
      </c>
      <c r="I25" s="11">
        <v>1</v>
      </c>
      <c r="J25" s="21">
        <v>5</v>
      </c>
      <c r="K25" s="6">
        <v>2</v>
      </c>
      <c r="L25" s="6">
        <v>1</v>
      </c>
      <c r="M25" s="22">
        <f t="shared" si="0"/>
        <v>9</v>
      </c>
    </row>
    <row r="26" spans="1:13" ht="32.25" customHeight="1" x14ac:dyDescent="0.25">
      <c r="A26" s="230" t="s">
        <v>31</v>
      </c>
      <c r="B26" s="231"/>
      <c r="C26" s="231"/>
      <c r="D26" s="231"/>
      <c r="E26" s="231"/>
      <c r="F26" s="231"/>
      <c r="G26" s="232"/>
      <c r="H26" s="68">
        <v>1</v>
      </c>
      <c r="I26" s="68">
        <v>0</v>
      </c>
      <c r="J26" s="78">
        <v>0</v>
      </c>
      <c r="K26" s="68">
        <v>1</v>
      </c>
      <c r="L26" s="68">
        <v>0</v>
      </c>
      <c r="M26" s="71">
        <f t="shared" si="0"/>
        <v>2</v>
      </c>
    </row>
    <row r="27" spans="1:13" ht="21" customHeight="1" x14ac:dyDescent="0.25">
      <c r="A27" s="260" t="s">
        <v>265</v>
      </c>
      <c r="B27" s="260"/>
      <c r="C27" s="260"/>
      <c r="D27" s="260"/>
      <c r="E27" s="260"/>
      <c r="F27" s="260"/>
      <c r="G27" s="260"/>
      <c r="H27" s="73">
        <f>SUM(H13:H26)</f>
        <v>270</v>
      </c>
      <c r="I27" s="73">
        <f t="shared" ref="I27:M27" si="1">SUM(I13:I26)</f>
        <v>103</v>
      </c>
      <c r="J27" s="73">
        <f t="shared" si="1"/>
        <v>159</v>
      </c>
      <c r="K27" s="73">
        <f t="shared" si="1"/>
        <v>152</v>
      </c>
      <c r="L27" s="73">
        <f t="shared" si="1"/>
        <v>160</v>
      </c>
      <c r="M27" s="73">
        <f t="shared" si="1"/>
        <v>844</v>
      </c>
    </row>
  </sheetData>
  <mergeCells count="20">
    <mergeCell ref="A18:G18"/>
    <mergeCell ref="A4:K5"/>
    <mergeCell ref="A8:M9"/>
    <mergeCell ref="A10:G10"/>
    <mergeCell ref="A11:G11"/>
    <mergeCell ref="A12:G12"/>
    <mergeCell ref="A13:G13"/>
    <mergeCell ref="A14:G14"/>
    <mergeCell ref="A15:G15"/>
    <mergeCell ref="A16:G16"/>
    <mergeCell ref="A17:G17"/>
    <mergeCell ref="A27:G27"/>
    <mergeCell ref="A25:G25"/>
    <mergeCell ref="A26:G26"/>
    <mergeCell ref="A19:G19"/>
    <mergeCell ref="A20:G20"/>
    <mergeCell ref="A21:G21"/>
    <mergeCell ref="A22:G22"/>
    <mergeCell ref="A23:G23"/>
    <mergeCell ref="A24:G24"/>
  </mergeCells>
  <pageMargins left="0" right="0.2" top="0.75" bottom="0.75" header="0.3" footer="0.3"/>
  <pageSetup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O21"/>
  <sheetViews>
    <sheetView topLeftCell="A13" workbookViewId="0">
      <selection sqref="A1:M22"/>
    </sheetView>
  </sheetViews>
  <sheetFormatPr defaultRowHeight="15" x14ac:dyDescent="0.25"/>
  <sheetData>
    <row r="2" spans="1:13" x14ac:dyDescent="0.25">
      <c r="E2" t="s">
        <v>263</v>
      </c>
    </row>
    <row r="3" spans="1:13" x14ac:dyDescent="0.25">
      <c r="A3" s="247" t="s">
        <v>45</v>
      </c>
      <c r="B3" s="247"/>
      <c r="C3" s="247"/>
      <c r="D3" s="247"/>
      <c r="E3" s="247"/>
      <c r="F3" s="247"/>
      <c r="G3" s="247"/>
      <c r="H3" s="247"/>
      <c r="I3" s="247"/>
      <c r="J3" s="247"/>
      <c r="K3" s="247"/>
    </row>
    <row r="4" spans="1:13" x14ac:dyDescent="0.25">
      <c r="A4" s="247"/>
      <c r="B4" s="247"/>
      <c r="C4" s="247"/>
      <c r="D4" s="247"/>
      <c r="E4" s="247"/>
      <c r="F4" s="247"/>
      <c r="G4" s="247"/>
      <c r="H4" s="247"/>
      <c r="I4" s="247"/>
      <c r="J4" s="247"/>
      <c r="K4" s="247"/>
    </row>
    <row r="6" spans="1:13" ht="15.75" thickBot="1" x14ac:dyDescent="0.3"/>
    <row r="7" spans="1:13" x14ac:dyDescent="0.25">
      <c r="A7" s="234" t="s">
        <v>35</v>
      </c>
      <c r="B7" s="235"/>
      <c r="C7" s="235"/>
      <c r="D7" s="235"/>
      <c r="E7" s="235"/>
      <c r="F7" s="235"/>
      <c r="G7" s="235"/>
      <c r="H7" s="235"/>
      <c r="I7" s="235"/>
      <c r="J7" s="235"/>
      <c r="K7" s="235"/>
      <c r="L7" s="235"/>
      <c r="M7" s="236"/>
    </row>
    <row r="8" spans="1:13" ht="15.75" thickBot="1" x14ac:dyDescent="0.3">
      <c r="A8" s="237"/>
      <c r="B8" s="238"/>
      <c r="C8" s="238"/>
      <c r="D8" s="238"/>
      <c r="E8" s="238"/>
      <c r="F8" s="238"/>
      <c r="G8" s="238"/>
      <c r="H8" s="238"/>
      <c r="I8" s="238"/>
      <c r="J8" s="238"/>
      <c r="K8" s="238"/>
      <c r="L8" s="238"/>
      <c r="M8" s="239"/>
    </row>
    <row r="9" spans="1:13" ht="15.75" x14ac:dyDescent="0.25">
      <c r="A9" s="241" t="s">
        <v>1</v>
      </c>
      <c r="B9" s="242"/>
      <c r="C9" s="242"/>
      <c r="D9" s="242"/>
      <c r="E9" s="242"/>
      <c r="F9" s="242"/>
      <c r="G9" s="243"/>
      <c r="H9" s="3" t="s">
        <v>2</v>
      </c>
      <c r="I9" s="3" t="s">
        <v>3</v>
      </c>
      <c r="J9" s="3" t="s">
        <v>4</v>
      </c>
      <c r="K9" s="3" t="s">
        <v>5</v>
      </c>
      <c r="L9" s="3" t="s">
        <v>6</v>
      </c>
      <c r="M9" s="5" t="s">
        <v>22</v>
      </c>
    </row>
    <row r="10" spans="1:13" ht="15.75" x14ac:dyDescent="0.25">
      <c r="A10" s="244" t="s">
        <v>8</v>
      </c>
      <c r="B10" s="245"/>
      <c r="C10" s="245"/>
      <c r="D10" s="245"/>
      <c r="E10" s="245"/>
      <c r="F10" s="245"/>
      <c r="G10" s="246"/>
      <c r="H10" s="1"/>
      <c r="I10" s="6"/>
      <c r="J10" s="6"/>
      <c r="K10" s="6"/>
      <c r="L10" s="6"/>
      <c r="M10" s="8"/>
    </row>
    <row r="11" spans="1:13" ht="15.75" x14ac:dyDescent="0.25">
      <c r="A11" s="244" t="s">
        <v>9</v>
      </c>
      <c r="B11" s="245"/>
      <c r="C11" s="245"/>
      <c r="D11" s="245"/>
      <c r="E11" s="245"/>
      <c r="F11" s="245"/>
      <c r="G11" s="246"/>
      <c r="H11" s="1"/>
      <c r="I11" s="6"/>
      <c r="J11" s="6"/>
      <c r="K11" s="6"/>
      <c r="L11" s="6"/>
      <c r="M11" s="8"/>
    </row>
    <row r="12" spans="1:13" ht="113.25" customHeight="1" x14ac:dyDescent="0.25">
      <c r="A12" s="227" t="s">
        <v>36</v>
      </c>
      <c r="B12" s="228"/>
      <c r="C12" s="228"/>
      <c r="D12" s="228"/>
      <c r="E12" s="228"/>
      <c r="F12" s="228"/>
      <c r="G12" s="229"/>
      <c r="H12" s="6">
        <v>0</v>
      </c>
      <c r="I12" s="6">
        <f>3</f>
        <v>3</v>
      </c>
      <c r="J12" s="6">
        <v>13</v>
      </c>
      <c r="K12" s="6">
        <f>3+2</f>
        <v>5</v>
      </c>
      <c r="L12" s="6">
        <f>19+3+2</f>
        <v>24</v>
      </c>
      <c r="M12" s="8">
        <f>H12+I12+J12+K12+L12</f>
        <v>45</v>
      </c>
    </row>
    <row r="13" spans="1:13" ht="80.25" customHeight="1" x14ac:dyDescent="0.25">
      <c r="A13" s="227" t="s">
        <v>37</v>
      </c>
      <c r="B13" s="228"/>
      <c r="C13" s="228"/>
      <c r="D13" s="228"/>
      <c r="E13" s="228"/>
      <c r="F13" s="228"/>
      <c r="G13" s="229"/>
      <c r="H13" s="6">
        <v>9</v>
      </c>
      <c r="I13" s="6">
        <v>5</v>
      </c>
      <c r="J13" s="6">
        <v>16</v>
      </c>
      <c r="K13" s="6">
        <v>26</v>
      </c>
      <c r="L13" s="6">
        <v>42</v>
      </c>
      <c r="M13" s="8">
        <f t="shared" ref="M13:M20" si="0">H13+I13+J13+K13+L13</f>
        <v>98</v>
      </c>
    </row>
    <row r="14" spans="1:13" ht="22.5" customHeight="1" x14ac:dyDescent="0.25">
      <c r="A14" s="227" t="s">
        <v>38</v>
      </c>
      <c r="B14" s="228"/>
      <c r="C14" s="228"/>
      <c r="D14" s="228"/>
      <c r="E14" s="228"/>
      <c r="F14" s="228"/>
      <c r="G14" s="229"/>
      <c r="H14" s="6">
        <v>0</v>
      </c>
      <c r="I14" s="6">
        <v>0</v>
      </c>
      <c r="J14" s="6">
        <v>0</v>
      </c>
      <c r="K14" s="6">
        <v>2</v>
      </c>
      <c r="L14" s="6">
        <v>1</v>
      </c>
      <c r="M14" s="8">
        <f t="shared" si="0"/>
        <v>3</v>
      </c>
    </row>
    <row r="15" spans="1:13" ht="38.25" customHeight="1" x14ac:dyDescent="0.25">
      <c r="A15" s="227" t="s">
        <v>39</v>
      </c>
      <c r="B15" s="228"/>
      <c r="C15" s="228"/>
      <c r="D15" s="228"/>
      <c r="E15" s="228"/>
      <c r="F15" s="228"/>
      <c r="G15" s="229"/>
      <c r="H15" s="6">
        <v>0</v>
      </c>
      <c r="I15" s="6">
        <v>0</v>
      </c>
      <c r="J15" s="6">
        <v>0</v>
      </c>
      <c r="K15" s="6">
        <v>0</v>
      </c>
      <c r="L15" s="6">
        <v>0</v>
      </c>
      <c r="M15" s="8">
        <f t="shared" si="0"/>
        <v>0</v>
      </c>
    </row>
    <row r="16" spans="1:13" ht="49.5" customHeight="1" x14ac:dyDescent="0.25">
      <c r="A16" s="227" t="s">
        <v>40</v>
      </c>
      <c r="B16" s="228"/>
      <c r="C16" s="228"/>
      <c r="D16" s="228"/>
      <c r="E16" s="228"/>
      <c r="F16" s="228"/>
      <c r="G16" s="229"/>
      <c r="H16" s="6">
        <v>0</v>
      </c>
      <c r="I16" s="6">
        <v>0</v>
      </c>
      <c r="J16" s="6">
        <v>0</v>
      </c>
      <c r="K16" s="6">
        <v>0</v>
      </c>
      <c r="L16" s="6">
        <v>0</v>
      </c>
      <c r="M16" s="8">
        <f t="shared" si="0"/>
        <v>0</v>
      </c>
    </row>
    <row r="17" spans="1:15" ht="104.25" customHeight="1" x14ac:dyDescent="0.25">
      <c r="A17" s="227" t="s">
        <v>41</v>
      </c>
      <c r="B17" s="228"/>
      <c r="C17" s="228"/>
      <c r="D17" s="228"/>
      <c r="E17" s="228"/>
      <c r="F17" s="228"/>
      <c r="G17" s="229"/>
      <c r="H17" s="6">
        <v>0</v>
      </c>
      <c r="I17" s="6">
        <v>0</v>
      </c>
      <c r="J17" s="6">
        <v>0</v>
      </c>
      <c r="K17" s="6">
        <v>0</v>
      </c>
      <c r="L17" s="6">
        <v>0</v>
      </c>
      <c r="M17" s="8">
        <f t="shared" si="0"/>
        <v>0</v>
      </c>
    </row>
    <row r="18" spans="1:15" ht="33" customHeight="1" x14ac:dyDescent="0.25">
      <c r="A18" s="227" t="s">
        <v>42</v>
      </c>
      <c r="B18" s="228"/>
      <c r="C18" s="228"/>
      <c r="D18" s="228"/>
      <c r="E18" s="228"/>
      <c r="F18" s="228"/>
      <c r="G18" s="229"/>
      <c r="H18" s="6">
        <v>1</v>
      </c>
      <c r="I18" s="6">
        <v>0</v>
      </c>
      <c r="J18" s="6">
        <v>0</v>
      </c>
      <c r="K18" s="6">
        <v>1</v>
      </c>
      <c r="L18" s="6">
        <v>0</v>
      </c>
      <c r="M18" s="8">
        <f t="shared" si="0"/>
        <v>2</v>
      </c>
    </row>
    <row r="19" spans="1:15" ht="32.25" customHeight="1" x14ac:dyDescent="0.25">
      <c r="A19" s="227" t="s">
        <v>43</v>
      </c>
      <c r="B19" s="228"/>
      <c r="C19" s="228"/>
      <c r="D19" s="228"/>
      <c r="E19" s="228"/>
      <c r="F19" s="228"/>
      <c r="G19" s="229"/>
      <c r="H19" s="6">
        <v>0</v>
      </c>
      <c r="I19" s="6">
        <v>0</v>
      </c>
      <c r="J19" s="6">
        <v>0</v>
      </c>
      <c r="K19" s="6">
        <v>2</v>
      </c>
      <c r="L19" s="6">
        <v>2</v>
      </c>
      <c r="M19" s="8">
        <f t="shared" si="0"/>
        <v>4</v>
      </c>
    </row>
    <row r="20" spans="1:15" ht="66" customHeight="1" x14ac:dyDescent="0.25">
      <c r="A20" s="230" t="s">
        <v>44</v>
      </c>
      <c r="B20" s="231"/>
      <c r="C20" s="231"/>
      <c r="D20" s="231"/>
      <c r="E20" s="231"/>
      <c r="F20" s="231"/>
      <c r="G20" s="232"/>
      <c r="H20" s="68">
        <v>0</v>
      </c>
      <c r="I20" s="68">
        <v>0</v>
      </c>
      <c r="J20" s="68">
        <v>30</v>
      </c>
      <c r="K20" s="68">
        <v>76</v>
      </c>
      <c r="L20" s="68">
        <v>34</v>
      </c>
      <c r="M20" s="79">
        <f t="shared" si="0"/>
        <v>140</v>
      </c>
    </row>
    <row r="21" spans="1:15" ht="15.75" x14ac:dyDescent="0.25">
      <c r="A21" s="224" t="s">
        <v>264</v>
      </c>
      <c r="B21" s="225"/>
      <c r="C21" s="225"/>
      <c r="D21" s="225"/>
      <c r="E21" s="225"/>
      <c r="F21" s="225"/>
      <c r="G21" s="226"/>
      <c r="H21" s="80">
        <f>SUM(H12:H20)</f>
        <v>10</v>
      </c>
      <c r="I21" s="80">
        <f t="shared" ref="I21:M21" si="1">SUM(I12:I20)</f>
        <v>8</v>
      </c>
      <c r="J21" s="80">
        <f t="shared" si="1"/>
        <v>59</v>
      </c>
      <c r="K21" s="80">
        <f t="shared" si="1"/>
        <v>112</v>
      </c>
      <c r="L21" s="80">
        <f t="shared" si="1"/>
        <v>103</v>
      </c>
      <c r="M21" s="80">
        <f t="shared" si="1"/>
        <v>292</v>
      </c>
      <c r="O21">
        <f>+M21-292</f>
        <v>0</v>
      </c>
    </row>
  </sheetData>
  <mergeCells count="15">
    <mergeCell ref="A12:G12"/>
    <mergeCell ref="A3:K4"/>
    <mergeCell ref="A7:M8"/>
    <mergeCell ref="A9:G9"/>
    <mergeCell ref="A10:G10"/>
    <mergeCell ref="A11:G11"/>
    <mergeCell ref="A21:G21"/>
    <mergeCell ref="A19:G19"/>
    <mergeCell ref="A20:G20"/>
    <mergeCell ref="A13:G13"/>
    <mergeCell ref="A14:G14"/>
    <mergeCell ref="A15:G15"/>
    <mergeCell ref="A16:G16"/>
    <mergeCell ref="A17:G17"/>
    <mergeCell ref="A18:G18"/>
  </mergeCells>
  <pageMargins left="0.2" right="0.2" top="0.75" bottom="0.75" header="0.3" footer="0.3"/>
  <pageSetup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F41"/>
  <sheetViews>
    <sheetView topLeftCell="A18" workbookViewId="0">
      <selection sqref="A1:D42"/>
    </sheetView>
  </sheetViews>
  <sheetFormatPr defaultRowHeight="15" x14ac:dyDescent="0.25"/>
  <cols>
    <col min="1" max="1" width="46.140625" customWidth="1"/>
    <col min="2" max="3" width="22" customWidth="1"/>
    <col min="4" max="4" width="24" customWidth="1"/>
  </cols>
  <sheetData>
    <row r="2" spans="1:6" s="76" customFormat="1" x14ac:dyDescent="0.25">
      <c r="A2" s="85" t="s">
        <v>348</v>
      </c>
      <c r="B2" s="86"/>
      <c r="C2" s="86"/>
      <c r="D2" s="86"/>
    </row>
    <row r="3" spans="1:6" ht="26.25" customHeight="1" x14ac:dyDescent="0.25">
      <c r="A3" s="76" t="s">
        <v>349</v>
      </c>
      <c r="B3" s="87"/>
      <c r="C3" s="87"/>
      <c r="D3" s="87"/>
    </row>
    <row r="4" spans="1:6" ht="15.75" thickBot="1" x14ac:dyDescent="0.3">
      <c r="B4" s="87"/>
      <c r="C4" s="87"/>
      <c r="D4" s="109"/>
    </row>
    <row r="5" spans="1:6" ht="37.5" customHeight="1" thickBot="1" x14ac:dyDescent="0.3">
      <c r="A5" s="268" t="s">
        <v>350</v>
      </c>
      <c r="B5" s="269"/>
      <c r="C5" s="269"/>
      <c r="D5" s="270"/>
    </row>
    <row r="6" spans="1:6" ht="24.75" customHeight="1" x14ac:dyDescent="0.25">
      <c r="A6" s="112" t="s">
        <v>270</v>
      </c>
      <c r="B6" s="88" t="s">
        <v>489</v>
      </c>
      <c r="C6" s="89" t="s">
        <v>490</v>
      </c>
      <c r="D6" s="128" t="s">
        <v>271</v>
      </c>
      <c r="F6" s="115"/>
    </row>
    <row r="7" spans="1:6" x14ac:dyDescent="0.25">
      <c r="A7" s="121" t="s">
        <v>272</v>
      </c>
      <c r="B7" s="91">
        <v>846461</v>
      </c>
      <c r="C7" s="92">
        <v>1045061</v>
      </c>
      <c r="D7" s="116">
        <v>1361956</v>
      </c>
      <c r="E7" s="115"/>
    </row>
    <row r="8" spans="1:6" x14ac:dyDescent="0.25">
      <c r="A8" s="121" t="s">
        <v>273</v>
      </c>
      <c r="B8" s="91">
        <v>14667</v>
      </c>
      <c r="C8" s="92">
        <f>3668+3173</f>
        <v>6841</v>
      </c>
      <c r="D8" s="116">
        <v>100000</v>
      </c>
      <c r="E8" t="s">
        <v>491</v>
      </c>
    </row>
    <row r="9" spans="1:6" x14ac:dyDescent="0.25">
      <c r="A9" s="121" t="s">
        <v>492</v>
      </c>
      <c r="B9" s="91"/>
      <c r="C9" s="92">
        <f>113693-3173</f>
        <v>110520</v>
      </c>
      <c r="D9" s="116">
        <v>517496</v>
      </c>
    </row>
    <row r="10" spans="1:6" ht="21" customHeight="1" x14ac:dyDescent="0.25">
      <c r="A10" s="136" t="s">
        <v>22</v>
      </c>
      <c r="B10" s="137">
        <f>SUM(B7:B9)</f>
        <v>861128</v>
      </c>
      <c r="C10" s="137">
        <f>SUM(C7:C9)</f>
        <v>1162422</v>
      </c>
      <c r="D10" s="138">
        <f>SUM(D7:D9)</f>
        <v>1979452</v>
      </c>
    </row>
    <row r="11" spans="1:6" s="76" customFormat="1" ht="25.5" customHeight="1" x14ac:dyDescent="0.25">
      <c r="A11" s="265" t="s">
        <v>274</v>
      </c>
      <c r="B11" s="266"/>
      <c r="C11" s="266"/>
      <c r="D11" s="267"/>
    </row>
    <row r="12" spans="1:6" s="76" customFormat="1" x14ac:dyDescent="0.25">
      <c r="A12" s="129" t="s">
        <v>270</v>
      </c>
      <c r="B12" s="93" t="s">
        <v>275</v>
      </c>
      <c r="C12" s="94" t="s">
        <v>276</v>
      </c>
      <c r="D12" s="113" t="s">
        <v>277</v>
      </c>
    </row>
    <row r="13" spans="1:6" x14ac:dyDescent="0.25">
      <c r="A13" s="121" t="s">
        <v>278</v>
      </c>
      <c r="B13" s="91">
        <v>12839</v>
      </c>
      <c r="C13" s="92">
        <v>35000</v>
      </c>
      <c r="D13" s="116"/>
    </row>
    <row r="14" spans="1:6" x14ac:dyDescent="0.25">
      <c r="A14" s="121" t="s">
        <v>279</v>
      </c>
      <c r="B14" s="91">
        <v>19495</v>
      </c>
      <c r="C14" s="92">
        <v>4000</v>
      </c>
      <c r="D14" s="116"/>
    </row>
    <row r="15" spans="1:6" x14ac:dyDescent="0.25">
      <c r="A15" s="121" t="s">
        <v>280</v>
      </c>
      <c r="B15" s="91"/>
      <c r="C15" s="92"/>
      <c r="D15" s="116"/>
    </row>
    <row r="16" spans="1:6" ht="15.75" thickBot="1" x14ac:dyDescent="0.3">
      <c r="A16" s="130" t="s">
        <v>278</v>
      </c>
      <c r="B16" s="131"/>
      <c r="C16" s="110"/>
      <c r="D16" s="132"/>
    </row>
    <row r="17" spans="1:6" ht="26.25" customHeight="1" thickBot="1" x14ac:dyDescent="0.3">
      <c r="A17" s="133" t="s">
        <v>22</v>
      </c>
      <c r="B17" s="134">
        <f>SUM(B13:B16)</f>
        <v>32334</v>
      </c>
      <c r="C17" s="134">
        <f t="shared" ref="C17:D17" si="0">SUM(C13:C16)</f>
        <v>39000</v>
      </c>
      <c r="D17" s="135">
        <f t="shared" si="0"/>
        <v>0</v>
      </c>
    </row>
    <row r="18" spans="1:6" x14ac:dyDescent="0.25">
      <c r="A18" s="262" t="s">
        <v>356</v>
      </c>
      <c r="B18" s="263"/>
      <c r="C18" s="263"/>
      <c r="D18" s="264"/>
    </row>
    <row r="19" spans="1:6" ht="25.5" customHeight="1" x14ac:dyDescent="0.25">
      <c r="A19" s="112" t="s">
        <v>270</v>
      </c>
      <c r="B19" s="93" t="s">
        <v>275</v>
      </c>
      <c r="C19" s="94" t="s">
        <v>351</v>
      </c>
      <c r="D19" s="113" t="s">
        <v>281</v>
      </c>
    </row>
    <row r="20" spans="1:6" ht="30" x14ac:dyDescent="0.25">
      <c r="A20" s="114" t="s">
        <v>352</v>
      </c>
      <c r="B20" s="115">
        <v>33265</v>
      </c>
      <c r="C20" s="92">
        <f>125600-1509</f>
        <v>124091</v>
      </c>
      <c r="D20" s="116">
        <v>135000</v>
      </c>
    </row>
    <row r="21" spans="1:6" x14ac:dyDescent="0.25">
      <c r="A21" s="114" t="s">
        <v>353</v>
      </c>
      <c r="B21" s="92">
        <v>133496</v>
      </c>
      <c r="C21" s="92">
        <v>21099</v>
      </c>
      <c r="D21" s="116">
        <v>70000</v>
      </c>
    </row>
    <row r="22" spans="1:6" x14ac:dyDescent="0.25">
      <c r="A22" s="114" t="s">
        <v>282</v>
      </c>
      <c r="B22" s="92"/>
      <c r="C22" s="92">
        <v>1509</v>
      </c>
      <c r="D22" s="116">
        <v>3000</v>
      </c>
    </row>
    <row r="23" spans="1:6" ht="15.75" thickBot="1" x14ac:dyDescent="0.3">
      <c r="A23" s="117" t="s">
        <v>354</v>
      </c>
      <c r="B23" s="118">
        <f>SUM(B20:B22)</f>
        <v>166761</v>
      </c>
      <c r="C23" s="118">
        <f t="shared" ref="C23:D23" si="1">SUM(C20:C22)</f>
        <v>146699</v>
      </c>
      <c r="D23" s="119">
        <f t="shared" si="1"/>
        <v>208000</v>
      </c>
      <c r="F23" s="115"/>
    </row>
    <row r="24" spans="1:6" ht="15.75" thickBot="1" x14ac:dyDescent="0.3">
      <c r="A24" s="111"/>
    </row>
    <row r="25" spans="1:6" ht="38.25" customHeight="1" thickBot="1" x14ac:dyDescent="0.3">
      <c r="A25" s="120" t="s">
        <v>355</v>
      </c>
      <c r="B25" s="126" t="s">
        <v>275</v>
      </c>
      <c r="C25" s="126" t="s">
        <v>351</v>
      </c>
      <c r="D25" s="123" t="s">
        <v>281</v>
      </c>
    </row>
    <row r="26" spans="1:6" x14ac:dyDescent="0.25">
      <c r="A26" s="121" t="s">
        <v>283</v>
      </c>
      <c r="B26" s="179">
        <v>1244</v>
      </c>
      <c r="C26" s="179">
        <v>1356</v>
      </c>
      <c r="D26" s="122">
        <v>1355</v>
      </c>
    </row>
    <row r="27" spans="1:6" x14ac:dyDescent="0.25">
      <c r="A27" s="121" t="s">
        <v>284</v>
      </c>
      <c r="B27" s="179"/>
      <c r="C27" s="179"/>
      <c r="D27" s="116"/>
    </row>
    <row r="28" spans="1:6" x14ac:dyDescent="0.25">
      <c r="A28" s="121" t="s">
        <v>75</v>
      </c>
      <c r="B28" s="271">
        <v>172225</v>
      </c>
      <c r="C28" s="179">
        <v>165000</v>
      </c>
      <c r="D28" s="116">
        <v>170000</v>
      </c>
    </row>
    <row r="29" spans="1:6" x14ac:dyDescent="0.25">
      <c r="A29" s="121" t="s">
        <v>285</v>
      </c>
      <c r="B29" s="272"/>
      <c r="C29" s="179"/>
      <c r="D29" s="116"/>
    </row>
    <row r="30" spans="1:6" x14ac:dyDescent="0.25">
      <c r="A30" s="121" t="s">
        <v>92</v>
      </c>
      <c r="B30" s="272"/>
      <c r="C30" s="179"/>
      <c r="D30" s="116"/>
    </row>
    <row r="31" spans="1:6" x14ac:dyDescent="0.25">
      <c r="A31" s="121" t="s">
        <v>286</v>
      </c>
      <c r="B31" s="272"/>
      <c r="C31" s="179"/>
      <c r="D31" s="116"/>
    </row>
    <row r="32" spans="1:6" x14ac:dyDescent="0.25">
      <c r="A32" s="121" t="s">
        <v>287</v>
      </c>
      <c r="B32" s="273"/>
      <c r="C32" s="179"/>
      <c r="D32" s="116"/>
    </row>
    <row r="33" spans="1:4" x14ac:dyDescent="0.25">
      <c r="A33" s="121" t="s">
        <v>288</v>
      </c>
      <c r="B33" s="179">
        <v>4018</v>
      </c>
      <c r="C33" s="179">
        <f>2474+2413</f>
        <v>4887</v>
      </c>
      <c r="D33" s="116">
        <v>2000</v>
      </c>
    </row>
    <row r="34" spans="1:4" x14ac:dyDescent="0.25">
      <c r="A34" s="121" t="s">
        <v>289</v>
      </c>
      <c r="B34" s="179"/>
      <c r="C34" s="179"/>
      <c r="D34" s="116"/>
    </row>
    <row r="35" spans="1:4" x14ac:dyDescent="0.25">
      <c r="A35" s="121" t="s">
        <v>290</v>
      </c>
      <c r="B35" s="179"/>
      <c r="C35" s="179"/>
      <c r="D35" s="116"/>
    </row>
    <row r="36" spans="1:4" x14ac:dyDescent="0.25">
      <c r="A36" s="121" t="s">
        <v>291</v>
      </c>
      <c r="B36" s="179">
        <v>5163</v>
      </c>
      <c r="C36" s="179">
        <v>2026</v>
      </c>
      <c r="D36" s="116">
        <v>5580</v>
      </c>
    </row>
    <row r="37" spans="1:4" x14ac:dyDescent="0.25">
      <c r="A37" s="121" t="s">
        <v>292</v>
      </c>
      <c r="B37" s="179"/>
      <c r="C37" s="179"/>
      <c r="D37" s="116"/>
    </row>
    <row r="38" spans="1:4" x14ac:dyDescent="0.25">
      <c r="A38" s="121" t="s">
        <v>293</v>
      </c>
      <c r="B38" s="179">
        <f>9391-4013</f>
        <v>5378</v>
      </c>
      <c r="C38" s="179">
        <f>7000-2413</f>
        <v>4587</v>
      </c>
      <c r="D38" s="116">
        <v>7850</v>
      </c>
    </row>
    <row r="39" spans="1:4" x14ac:dyDescent="0.25">
      <c r="A39" s="121" t="s">
        <v>294</v>
      </c>
      <c r="B39" s="179"/>
      <c r="C39" s="179"/>
      <c r="D39" s="116"/>
    </row>
    <row r="40" spans="1:4" x14ac:dyDescent="0.25">
      <c r="A40" s="121" t="s">
        <v>295</v>
      </c>
      <c r="B40" s="179">
        <v>3379</v>
      </c>
      <c r="C40" s="179">
        <f>1323+1478</f>
        <v>2801</v>
      </c>
      <c r="D40" s="116">
        <v>5000</v>
      </c>
    </row>
    <row r="41" spans="1:4" ht="16.5" thickBot="1" x14ac:dyDescent="0.3">
      <c r="A41" s="124" t="s">
        <v>22</v>
      </c>
      <c r="B41" s="125">
        <f>SUM(B26:B40)</f>
        <v>191407</v>
      </c>
      <c r="C41" s="125">
        <f t="shared" ref="C41:D41" si="2">SUM(C26:C40)</f>
        <v>180657</v>
      </c>
      <c r="D41" s="127">
        <f t="shared" si="2"/>
        <v>191785</v>
      </c>
    </row>
  </sheetData>
  <mergeCells count="4">
    <mergeCell ref="A18:D18"/>
    <mergeCell ref="A11:D11"/>
    <mergeCell ref="A5:D5"/>
    <mergeCell ref="B28:B32"/>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2"/>
  <sheetViews>
    <sheetView workbookViewId="0">
      <selection activeCell="G20" sqref="G20"/>
    </sheetView>
  </sheetViews>
  <sheetFormatPr defaultRowHeight="15" x14ac:dyDescent="0.25"/>
  <cols>
    <col min="2" max="2" width="21.5703125" customWidth="1"/>
    <col min="3" max="3" width="11.7109375" customWidth="1"/>
    <col min="4" max="4" width="15.28515625" bestFit="1" customWidth="1"/>
    <col min="5" max="5" width="12.42578125" customWidth="1"/>
    <col min="6" max="6" width="15.28515625" bestFit="1" customWidth="1"/>
    <col min="7" max="7" width="12" customWidth="1"/>
    <col min="8" max="8" width="15.28515625" bestFit="1" customWidth="1"/>
  </cols>
  <sheetData>
    <row r="1" spans="1:9" x14ac:dyDescent="0.25">
      <c r="B1" t="s">
        <v>268</v>
      </c>
    </row>
    <row r="2" spans="1:9" x14ac:dyDescent="0.25">
      <c r="C2" s="76" t="s">
        <v>266</v>
      </c>
    </row>
    <row r="4" spans="1:9" ht="17.25" thickBot="1" x14ac:dyDescent="0.3">
      <c r="D4" s="276" t="s">
        <v>58</v>
      </c>
      <c r="E4" s="276"/>
      <c r="F4" s="276"/>
      <c r="G4" s="276"/>
    </row>
    <row r="5" spans="1:9" ht="16.5" thickBot="1" x14ac:dyDescent="0.3">
      <c r="A5" s="280" t="s">
        <v>57</v>
      </c>
      <c r="B5" s="281"/>
      <c r="C5" s="277" t="s">
        <v>260</v>
      </c>
      <c r="D5" s="278"/>
      <c r="E5" s="279" t="s">
        <v>259</v>
      </c>
      <c r="F5" s="278"/>
      <c r="G5" s="274" t="s">
        <v>261</v>
      </c>
      <c r="H5" s="275"/>
    </row>
    <row r="6" spans="1:9" ht="29.25" thickBot="1" x14ac:dyDescent="0.3">
      <c r="A6" s="282"/>
      <c r="B6" s="283"/>
      <c r="C6" s="14" t="s">
        <v>53</v>
      </c>
      <c r="D6" s="15" t="s">
        <v>52</v>
      </c>
      <c r="E6" s="14" t="s">
        <v>53</v>
      </c>
      <c r="F6" s="16" t="s">
        <v>52</v>
      </c>
      <c r="G6" s="14" t="s">
        <v>53</v>
      </c>
      <c r="H6" s="17" t="s">
        <v>52</v>
      </c>
    </row>
    <row r="7" spans="1:9" ht="30" customHeight="1" x14ac:dyDescent="0.25">
      <c r="A7" s="286" t="s">
        <v>255</v>
      </c>
      <c r="B7" s="287"/>
      <c r="C7" s="49">
        <v>808</v>
      </c>
      <c r="D7" s="49">
        <v>72720000</v>
      </c>
      <c r="E7" s="49">
        <f>657+6+29+6+54</f>
        <v>752</v>
      </c>
      <c r="F7" s="49">
        <f>59130000+540000+2610000+540000+4860000</f>
        <v>67680000</v>
      </c>
      <c r="G7" s="49">
        <v>780</v>
      </c>
      <c r="H7" s="67">
        <v>70200000</v>
      </c>
      <c r="I7" t="s">
        <v>267</v>
      </c>
    </row>
    <row r="8" spans="1:9" ht="30" customHeight="1" x14ac:dyDescent="0.25">
      <c r="A8" s="284" t="s">
        <v>54</v>
      </c>
      <c r="B8" s="285"/>
      <c r="C8" s="50">
        <v>3070</v>
      </c>
      <c r="D8" s="50">
        <v>38375000</v>
      </c>
      <c r="E8" s="155">
        <v>2918</v>
      </c>
      <c r="F8" s="50">
        <v>36475000</v>
      </c>
      <c r="G8" s="50">
        <v>2700</v>
      </c>
      <c r="H8" s="66">
        <v>35750000</v>
      </c>
      <c r="I8" s="81">
        <v>0.5</v>
      </c>
    </row>
    <row r="9" spans="1:9" ht="30" customHeight="1" x14ac:dyDescent="0.25">
      <c r="A9" s="284" t="s">
        <v>256</v>
      </c>
      <c r="B9" s="285"/>
      <c r="C9" s="50">
        <v>922</v>
      </c>
      <c r="D9" s="50">
        <v>23050000</v>
      </c>
      <c r="E9" s="155">
        <v>844</v>
      </c>
      <c r="F9" s="50">
        <f>+E9*25000</f>
        <v>21100000</v>
      </c>
      <c r="G9" s="50">
        <v>850</v>
      </c>
      <c r="H9" s="66">
        <f>+G9*25000</f>
        <v>21250000</v>
      </c>
      <c r="I9" s="81">
        <v>1</v>
      </c>
    </row>
    <row r="10" spans="1:9" ht="30" customHeight="1" x14ac:dyDescent="0.25">
      <c r="A10" s="284" t="s">
        <v>55</v>
      </c>
      <c r="B10" s="285"/>
      <c r="C10" s="50">
        <v>0</v>
      </c>
      <c r="D10" s="50">
        <v>0</v>
      </c>
      <c r="E10" s="50">
        <v>0</v>
      </c>
      <c r="F10" s="50">
        <v>0</v>
      </c>
      <c r="G10" s="50">
        <v>20</v>
      </c>
      <c r="H10" s="66">
        <v>7200000</v>
      </c>
    </row>
    <row r="11" spans="1:9" ht="30" customHeight="1" x14ac:dyDescent="0.25">
      <c r="A11" s="284" t="s">
        <v>269</v>
      </c>
      <c r="B11" s="285"/>
      <c r="C11" s="82">
        <v>306</v>
      </c>
      <c r="D11" s="82">
        <v>10273500</v>
      </c>
      <c r="E11" s="82">
        <v>292</v>
      </c>
      <c r="F11" s="82">
        <v>9904500</v>
      </c>
      <c r="G11" s="82">
        <v>292</v>
      </c>
      <c r="H11" s="83">
        <v>10016000</v>
      </c>
    </row>
    <row r="12" spans="1:9" ht="30" customHeight="1" thickBot="1" x14ac:dyDescent="0.3">
      <c r="A12" s="288" t="s">
        <v>56</v>
      </c>
      <c r="B12" s="289"/>
      <c r="C12" s="84">
        <f>SUM(C7:C11)</f>
        <v>5106</v>
      </c>
      <c r="D12" s="84">
        <f t="shared" ref="D12:H12" si="0">SUM(D7:D11)</f>
        <v>144418500</v>
      </c>
      <c r="E12" s="84">
        <f t="shared" si="0"/>
        <v>4806</v>
      </c>
      <c r="F12" s="84">
        <f t="shared" si="0"/>
        <v>135159500</v>
      </c>
      <c r="G12" s="84">
        <f t="shared" si="0"/>
        <v>4642</v>
      </c>
      <c r="H12" s="84">
        <f t="shared" si="0"/>
        <v>144416000</v>
      </c>
    </row>
  </sheetData>
  <mergeCells count="11">
    <mergeCell ref="A8:B8"/>
    <mergeCell ref="A9:B9"/>
    <mergeCell ref="A10:B10"/>
    <mergeCell ref="A7:B7"/>
    <mergeCell ref="A12:B12"/>
    <mergeCell ref="A11:B11"/>
    <mergeCell ref="G5:H5"/>
    <mergeCell ref="D4:G4"/>
    <mergeCell ref="C5:D5"/>
    <mergeCell ref="E5:F5"/>
    <mergeCell ref="A5:B6"/>
  </mergeCells>
  <pageMargins left="0.2" right="0.2" top="0.75" bottom="0.75" header="0.3" footer="0.3"/>
  <pageSetup scale="9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0"/>
  <sheetViews>
    <sheetView topLeftCell="A13" workbookViewId="0">
      <selection activeCell="G12" sqref="G12"/>
    </sheetView>
  </sheetViews>
  <sheetFormatPr defaultRowHeight="15" x14ac:dyDescent="0.25"/>
  <cols>
    <col min="1" max="1" width="41.5703125" customWidth="1"/>
    <col min="2" max="2" width="22.28515625" customWidth="1"/>
    <col min="3" max="3" width="24.5703125" customWidth="1"/>
    <col min="4" max="4" width="18.85546875" customWidth="1"/>
    <col min="6" max="6" width="9.7109375" bestFit="1" customWidth="1"/>
  </cols>
  <sheetData>
    <row r="1" spans="1:6" ht="25.5" customHeight="1" x14ac:dyDescent="0.25"/>
    <row r="2" spans="1:6" x14ac:dyDescent="0.25">
      <c r="A2" s="266" t="s">
        <v>358</v>
      </c>
      <c r="B2" s="266"/>
      <c r="C2" s="266"/>
      <c r="D2" s="266"/>
    </row>
    <row r="3" spans="1:6" x14ac:dyDescent="0.25">
      <c r="A3" s="72" t="s">
        <v>270</v>
      </c>
      <c r="B3" s="94" t="s">
        <v>275</v>
      </c>
      <c r="C3" s="94" t="s">
        <v>357</v>
      </c>
      <c r="D3" s="94" t="s">
        <v>277</v>
      </c>
    </row>
    <row r="4" spans="1:6" ht="39" x14ac:dyDescent="0.3">
      <c r="A4" s="180" t="s">
        <v>367</v>
      </c>
      <c r="B4" s="181">
        <f>+B5+B8+B9+B10+B11+B14</f>
        <v>57810</v>
      </c>
      <c r="C4" s="181">
        <f t="shared" ref="C4:D4" si="0">+C5+C8+C9+C10+C11+C14</f>
        <v>126000</v>
      </c>
      <c r="D4" s="181">
        <f t="shared" si="0"/>
        <v>130304</v>
      </c>
    </row>
    <row r="5" spans="1:6" x14ac:dyDescent="0.25">
      <c r="A5" s="182" t="s">
        <v>359</v>
      </c>
      <c r="B5" s="94">
        <f>+B6+B7</f>
        <v>9295</v>
      </c>
      <c r="C5" s="94">
        <v>63000</v>
      </c>
      <c r="D5" s="94">
        <f>+D6+D7</f>
        <v>82079</v>
      </c>
    </row>
    <row r="6" spans="1:6" x14ac:dyDescent="0.25">
      <c r="A6" s="95" t="s">
        <v>297</v>
      </c>
      <c r="B6" s="94">
        <v>9295</v>
      </c>
      <c r="C6" s="94">
        <v>7000</v>
      </c>
      <c r="D6" s="94">
        <v>82079</v>
      </c>
    </row>
    <row r="7" spans="1:6" x14ac:dyDescent="0.25">
      <c r="A7" s="95" t="s">
        <v>298</v>
      </c>
      <c r="B7" s="94">
        <v>0</v>
      </c>
      <c r="C7" s="94"/>
      <c r="D7" s="94"/>
    </row>
    <row r="8" spans="1:6" x14ac:dyDescent="0.25">
      <c r="A8" s="182" t="s">
        <v>360</v>
      </c>
      <c r="B8" s="94">
        <v>1029</v>
      </c>
      <c r="C8" s="94">
        <v>10500</v>
      </c>
      <c r="D8" s="94">
        <v>13225</v>
      </c>
    </row>
    <row r="9" spans="1:6" x14ac:dyDescent="0.25">
      <c r="A9" s="182" t="s">
        <v>361</v>
      </c>
      <c r="B9" s="94">
        <v>34558</v>
      </c>
      <c r="C9" s="94">
        <v>45000</v>
      </c>
      <c r="D9" s="94">
        <v>30000</v>
      </c>
    </row>
    <row r="10" spans="1:6" x14ac:dyDescent="0.25">
      <c r="A10" s="182" t="s">
        <v>363</v>
      </c>
      <c r="B10" s="94"/>
      <c r="C10" s="94"/>
      <c r="D10" s="94"/>
    </row>
    <row r="11" spans="1:6" x14ac:dyDescent="0.25">
      <c r="A11" s="182" t="s">
        <v>364</v>
      </c>
      <c r="B11" s="94">
        <f>+B12+B13</f>
        <v>9145</v>
      </c>
      <c r="C11" s="94">
        <f t="shared" ref="C11:D11" si="1">+C12+C13</f>
        <v>2500</v>
      </c>
      <c r="D11" s="94">
        <f t="shared" si="1"/>
        <v>0</v>
      </c>
    </row>
    <row r="12" spans="1:6" x14ac:dyDescent="0.25">
      <c r="A12" s="95" t="s">
        <v>303</v>
      </c>
      <c r="B12" s="94"/>
      <c r="C12" s="94"/>
      <c r="D12" s="94"/>
    </row>
    <row r="13" spans="1:6" x14ac:dyDescent="0.25">
      <c r="A13" s="95" t="s">
        <v>362</v>
      </c>
      <c r="B13" s="94">
        <v>9145</v>
      </c>
      <c r="C13" s="94">
        <v>2500</v>
      </c>
      <c r="D13" s="94"/>
    </row>
    <row r="14" spans="1:6" x14ac:dyDescent="0.25">
      <c r="A14" s="182" t="s">
        <v>365</v>
      </c>
      <c r="B14" s="94">
        <v>3783</v>
      </c>
      <c r="C14" s="94">
        <v>5000</v>
      </c>
      <c r="D14" s="94">
        <v>5000</v>
      </c>
    </row>
    <row r="15" spans="1:6" ht="28.5" customHeight="1" x14ac:dyDescent="0.3">
      <c r="A15" s="183" t="s">
        <v>366</v>
      </c>
      <c r="B15" s="184">
        <f>SUM(B16:B29)</f>
        <v>133496</v>
      </c>
      <c r="C15" s="184">
        <f t="shared" ref="C15:D15" si="2">SUM(C16:C29)</f>
        <v>25000</v>
      </c>
      <c r="D15" s="184">
        <f t="shared" si="2"/>
        <v>65000</v>
      </c>
      <c r="F15" s="115"/>
    </row>
    <row r="16" spans="1:6" x14ac:dyDescent="0.25">
      <c r="A16" s="95" t="s">
        <v>305</v>
      </c>
      <c r="B16" s="94"/>
      <c r="C16" s="94"/>
      <c r="D16" s="94"/>
    </row>
    <row r="17" spans="1:4" x14ac:dyDescent="0.25">
      <c r="A17" s="95" t="s">
        <v>306</v>
      </c>
      <c r="B17" s="94"/>
      <c r="C17" s="94"/>
      <c r="D17" s="94"/>
    </row>
    <row r="18" spans="1:4" x14ac:dyDescent="0.25">
      <c r="A18" s="95" t="s">
        <v>307</v>
      </c>
      <c r="B18" s="94"/>
      <c r="C18" s="94"/>
      <c r="D18" s="94"/>
    </row>
    <row r="19" spans="1:4" x14ac:dyDescent="0.25">
      <c r="A19" s="95" t="s">
        <v>308</v>
      </c>
      <c r="B19" s="185"/>
      <c r="C19" s="94"/>
      <c r="D19" s="94">
        <v>65000</v>
      </c>
    </row>
    <row r="20" spans="1:4" x14ac:dyDescent="0.25">
      <c r="A20" s="95" t="s">
        <v>309</v>
      </c>
      <c r="B20" s="94">
        <v>40184</v>
      </c>
      <c r="C20" s="94"/>
      <c r="D20" s="94"/>
    </row>
    <row r="21" spans="1:4" x14ac:dyDescent="0.25">
      <c r="A21" s="95" t="s">
        <v>310</v>
      </c>
      <c r="B21" s="94">
        <v>10800</v>
      </c>
      <c r="C21" s="94"/>
      <c r="D21" s="94"/>
    </row>
    <row r="22" spans="1:4" x14ac:dyDescent="0.25">
      <c r="A22" s="95" t="s">
        <v>311</v>
      </c>
      <c r="B22" s="94"/>
      <c r="C22" s="94"/>
      <c r="D22" s="94"/>
    </row>
    <row r="23" spans="1:4" x14ac:dyDescent="0.25">
      <c r="A23" s="95" t="s">
        <v>312</v>
      </c>
      <c r="B23" s="94"/>
      <c r="C23" s="94"/>
      <c r="D23" s="94"/>
    </row>
    <row r="24" spans="1:4" x14ac:dyDescent="0.25">
      <c r="A24" s="95" t="s">
        <v>313</v>
      </c>
      <c r="B24" s="94"/>
      <c r="C24" s="94"/>
      <c r="D24" s="94"/>
    </row>
    <row r="25" spans="1:4" x14ac:dyDescent="0.25">
      <c r="A25" s="95" t="s">
        <v>314</v>
      </c>
      <c r="B25" s="94">
        <v>61748</v>
      </c>
      <c r="C25" s="186">
        <v>25000</v>
      </c>
      <c r="D25" s="94"/>
    </row>
    <row r="26" spans="1:4" x14ac:dyDescent="0.25">
      <c r="A26" s="95" t="s">
        <v>315</v>
      </c>
      <c r="B26" s="94"/>
      <c r="C26" s="94"/>
      <c r="D26" s="94"/>
    </row>
    <row r="27" spans="1:4" x14ac:dyDescent="0.25">
      <c r="A27" s="95" t="s">
        <v>316</v>
      </c>
      <c r="B27" s="94"/>
      <c r="C27" s="94"/>
      <c r="D27" s="94"/>
    </row>
    <row r="28" spans="1:4" x14ac:dyDescent="0.25">
      <c r="A28" s="95" t="s">
        <v>368</v>
      </c>
      <c r="B28" s="94">
        <v>20764</v>
      </c>
      <c r="C28" s="94"/>
      <c r="D28" s="94"/>
    </row>
    <row r="29" spans="1:4" x14ac:dyDescent="0.25">
      <c r="A29" s="95" t="s">
        <v>317</v>
      </c>
      <c r="B29" s="94"/>
      <c r="C29" s="94"/>
      <c r="D29" s="94"/>
    </row>
    <row r="30" spans="1:4" ht="28.5" customHeight="1" x14ac:dyDescent="0.25">
      <c r="A30" s="139" t="s">
        <v>369</v>
      </c>
      <c r="B30" s="140">
        <f>+B15+B4</f>
        <v>191306</v>
      </c>
      <c r="C30" s="140">
        <f t="shared" ref="C30:D30" si="3">+C15+C4</f>
        <v>151000</v>
      </c>
      <c r="D30" s="140">
        <f t="shared" si="3"/>
        <v>195304</v>
      </c>
    </row>
  </sheetData>
  <mergeCells count="1">
    <mergeCell ref="A2:D2"/>
  </mergeCells>
  <pageMargins left="0" right="0" top="0.75" bottom="0.75" header="0.3" footer="0.3"/>
  <pageSetup scale="90"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06"/>
  <sheetViews>
    <sheetView topLeftCell="A36" workbookViewId="0">
      <selection activeCell="G34" sqref="G34"/>
    </sheetView>
  </sheetViews>
  <sheetFormatPr defaultRowHeight="15" x14ac:dyDescent="0.25"/>
  <cols>
    <col min="1" max="1" width="4.85546875" customWidth="1"/>
    <col min="2" max="2" width="35" customWidth="1"/>
    <col min="3" max="3" width="16.140625" customWidth="1"/>
    <col min="4" max="4" width="15" customWidth="1"/>
    <col min="5" max="5" width="16.85546875" customWidth="1"/>
    <col min="6" max="6" width="15.42578125" customWidth="1"/>
    <col min="8" max="8" width="11.42578125" customWidth="1"/>
  </cols>
  <sheetData>
    <row r="1" spans="1:8" x14ac:dyDescent="0.25">
      <c r="B1" s="85" t="s">
        <v>318</v>
      </c>
      <c r="C1" s="87"/>
      <c r="D1" s="87"/>
      <c r="E1" s="87"/>
    </row>
    <row r="2" spans="1:8" x14ac:dyDescent="0.25">
      <c r="C2" s="87"/>
      <c r="D2" s="87"/>
      <c r="E2" s="87"/>
    </row>
    <row r="3" spans="1:8" ht="30" customHeight="1" x14ac:dyDescent="0.25">
      <c r="B3" s="292" t="s">
        <v>370</v>
      </c>
      <c r="C3" s="292"/>
      <c r="D3" s="292"/>
      <c r="E3" s="87"/>
    </row>
    <row r="4" spans="1:8" ht="34.5" customHeight="1" x14ac:dyDescent="0.25">
      <c r="A4" s="1" t="s">
        <v>319</v>
      </c>
      <c r="B4" s="97" t="s">
        <v>320</v>
      </c>
      <c r="C4" s="98" t="s">
        <v>321</v>
      </c>
      <c r="D4" s="98" t="s">
        <v>494</v>
      </c>
      <c r="E4" s="98" t="s">
        <v>322</v>
      </c>
      <c r="G4" s="175"/>
    </row>
    <row r="5" spans="1:8" s="76" customFormat="1" ht="23.25" customHeight="1" x14ac:dyDescent="0.25">
      <c r="A5" s="141">
        <v>1</v>
      </c>
      <c r="B5" s="142" t="s">
        <v>323</v>
      </c>
      <c r="C5" s="143">
        <f>SUM(C6:C10)</f>
        <v>3999</v>
      </c>
      <c r="D5" s="143">
        <f>SUM(D6:D10)</f>
        <v>938308</v>
      </c>
      <c r="E5" s="143">
        <f>SUM(E6:E10)</f>
        <v>942307</v>
      </c>
    </row>
    <row r="6" spans="1:8" x14ac:dyDescent="0.25">
      <c r="A6" s="90">
        <v>1.1000000000000001</v>
      </c>
      <c r="B6" s="1" t="s">
        <v>324</v>
      </c>
      <c r="C6" s="50">
        <v>1821</v>
      </c>
      <c r="D6" s="50">
        <f>782690+63518</f>
        <v>846208</v>
      </c>
      <c r="E6" s="50">
        <f>+C6+D6</f>
        <v>848029</v>
      </c>
      <c r="H6" t="s">
        <v>371</v>
      </c>
    </row>
    <row r="7" spans="1:8" x14ac:dyDescent="0.25">
      <c r="A7" s="90">
        <v>1.2</v>
      </c>
      <c r="B7" s="1" t="s">
        <v>325</v>
      </c>
      <c r="C7" s="50">
        <v>1</v>
      </c>
      <c r="D7" s="50">
        <v>76140</v>
      </c>
      <c r="E7" s="50">
        <f t="shared" ref="E7:E10" si="0">+C7+D7</f>
        <v>76141</v>
      </c>
    </row>
    <row r="8" spans="1:8" x14ac:dyDescent="0.25">
      <c r="A8" s="90">
        <v>1.3</v>
      </c>
      <c r="B8" s="1" t="s">
        <v>326</v>
      </c>
      <c r="C8" s="50">
        <v>0</v>
      </c>
      <c r="D8" s="50">
        <v>10000</v>
      </c>
      <c r="E8" s="50">
        <f t="shared" si="0"/>
        <v>10000</v>
      </c>
      <c r="F8" s="175"/>
    </row>
    <row r="9" spans="1:8" x14ac:dyDescent="0.25">
      <c r="A9" s="90">
        <v>1.4</v>
      </c>
      <c r="B9" s="1" t="s">
        <v>327</v>
      </c>
      <c r="C9" s="50">
        <v>2177</v>
      </c>
      <c r="D9" s="50">
        <v>2743</v>
      </c>
      <c r="E9" s="50">
        <f t="shared" si="0"/>
        <v>4920</v>
      </c>
    </row>
    <row r="10" spans="1:8" x14ac:dyDescent="0.25">
      <c r="A10" s="90">
        <v>1.5</v>
      </c>
      <c r="B10" s="1" t="s">
        <v>328</v>
      </c>
      <c r="C10" s="50">
        <v>0</v>
      </c>
      <c r="D10" s="50">
        <v>3217</v>
      </c>
      <c r="E10" s="50">
        <f t="shared" si="0"/>
        <v>3217</v>
      </c>
    </row>
    <row r="11" spans="1:8" s="76" customFormat="1" ht="28.5" customHeight="1" x14ac:dyDescent="0.25">
      <c r="A11" s="141">
        <v>2</v>
      </c>
      <c r="B11" s="142" t="s">
        <v>329</v>
      </c>
      <c r="C11" s="143">
        <f>SUM(C12:C13)</f>
        <v>36013</v>
      </c>
      <c r="D11" s="143">
        <f t="shared" ref="D11:E11" si="1">SUM(D12:D13)</f>
        <v>32334</v>
      </c>
      <c r="E11" s="143">
        <f t="shared" si="1"/>
        <v>68347</v>
      </c>
    </row>
    <row r="12" spans="1:8" x14ac:dyDescent="0.25">
      <c r="A12" s="90">
        <v>2.1</v>
      </c>
      <c r="B12" s="1" t="s">
        <v>278</v>
      </c>
      <c r="C12" s="50">
        <v>36013</v>
      </c>
      <c r="D12" s="50">
        <v>32334</v>
      </c>
      <c r="E12" s="50">
        <f>+D12+C12</f>
        <v>68347</v>
      </c>
    </row>
    <row r="13" spans="1:8" x14ac:dyDescent="0.25">
      <c r="A13" s="90">
        <v>2.2000000000000002</v>
      </c>
      <c r="B13" s="1" t="s">
        <v>330</v>
      </c>
      <c r="C13" s="50"/>
      <c r="D13" s="50"/>
      <c r="E13" s="50">
        <f>+D13+C13</f>
        <v>0</v>
      </c>
    </row>
    <row r="14" spans="1:8" s="76" customFormat="1" ht="24.75" customHeight="1" x14ac:dyDescent="0.25">
      <c r="A14" s="141">
        <v>3</v>
      </c>
      <c r="B14" s="142" t="s">
        <v>331</v>
      </c>
      <c r="C14" s="143">
        <f>SUM(C15:C17)</f>
        <v>144989</v>
      </c>
      <c r="D14" s="143">
        <f>SUM(D15:D17)</f>
        <v>191277</v>
      </c>
      <c r="E14" s="143">
        <f>SUM(E15:E17)</f>
        <v>336266</v>
      </c>
    </row>
    <row r="15" spans="1:8" x14ac:dyDescent="0.25">
      <c r="A15" s="90">
        <v>3.1</v>
      </c>
      <c r="B15" s="1" t="s">
        <v>332</v>
      </c>
      <c r="C15" s="50">
        <v>24109</v>
      </c>
      <c r="D15" s="50">
        <v>88652</v>
      </c>
      <c r="E15" s="50">
        <f>+D15+C15</f>
        <v>112761</v>
      </c>
    </row>
    <row r="16" spans="1:8" x14ac:dyDescent="0.25">
      <c r="A16" s="90">
        <v>3.2</v>
      </c>
      <c r="B16" s="1" t="s">
        <v>333</v>
      </c>
      <c r="C16" s="50">
        <v>119457</v>
      </c>
      <c r="D16" s="50">
        <v>93477</v>
      </c>
      <c r="E16" s="50">
        <f t="shared" ref="E16:E17" si="2">+D16+C16</f>
        <v>212934</v>
      </c>
    </row>
    <row r="17" spans="1:6" x14ac:dyDescent="0.25">
      <c r="A17" s="90">
        <v>3.3</v>
      </c>
      <c r="B17" s="1" t="s">
        <v>334</v>
      </c>
      <c r="C17" s="50">
        <v>1423</v>
      </c>
      <c r="D17" s="50">
        <v>9148</v>
      </c>
      <c r="E17" s="50">
        <f t="shared" si="2"/>
        <v>10571</v>
      </c>
    </row>
    <row r="18" spans="1:6" x14ac:dyDescent="0.25">
      <c r="A18" s="293" t="s">
        <v>22</v>
      </c>
      <c r="B18" s="294"/>
      <c r="C18" s="50">
        <f>+C14+C11+C5</f>
        <v>185001</v>
      </c>
      <c r="D18" s="50">
        <f t="shared" ref="D18:E18" si="3">+D14+D11+D5</f>
        <v>1161919</v>
      </c>
      <c r="E18" s="50">
        <f t="shared" si="3"/>
        <v>1346920</v>
      </c>
    </row>
    <row r="19" spans="1:6" x14ac:dyDescent="0.25">
      <c r="A19" s="101"/>
      <c r="B19" s="101"/>
      <c r="C19" s="87"/>
      <c r="D19" s="87"/>
      <c r="E19" s="87"/>
    </row>
    <row r="20" spans="1:6" x14ac:dyDescent="0.25">
      <c r="A20" s="101"/>
      <c r="B20" s="101"/>
      <c r="C20" s="87"/>
      <c r="D20" s="87"/>
      <c r="E20" s="87"/>
    </row>
    <row r="21" spans="1:6" x14ac:dyDescent="0.25">
      <c r="C21" s="87"/>
      <c r="D21" s="87"/>
      <c r="E21" s="87"/>
    </row>
    <row r="22" spans="1:6" s="103" customFormat="1" x14ac:dyDescent="0.25">
      <c r="A22" s="290" t="s">
        <v>495</v>
      </c>
      <c r="B22" s="291"/>
      <c r="C22" s="291"/>
      <c r="D22" s="291"/>
      <c r="E22" s="102"/>
    </row>
    <row r="23" spans="1:6" ht="59.25" customHeight="1" x14ac:dyDescent="0.25">
      <c r="A23" s="104" t="s">
        <v>319</v>
      </c>
      <c r="B23" s="105" t="s">
        <v>336</v>
      </c>
      <c r="C23" s="106" t="s">
        <v>337</v>
      </c>
      <c r="D23" s="107" t="s">
        <v>372</v>
      </c>
      <c r="E23" s="107" t="s">
        <v>338</v>
      </c>
      <c r="F23" s="187" t="s">
        <v>373</v>
      </c>
    </row>
    <row r="24" spans="1:6" ht="27" customHeight="1" x14ac:dyDescent="0.25">
      <c r="A24" s="1"/>
      <c r="B24" s="74" t="s">
        <v>296</v>
      </c>
      <c r="C24" s="108">
        <f>+C25+C26</f>
        <v>615680</v>
      </c>
      <c r="D24" s="108">
        <f t="shared" ref="D24:E24" si="4">+D25+D26</f>
        <v>0</v>
      </c>
      <c r="E24" s="108">
        <f t="shared" si="4"/>
        <v>9295</v>
      </c>
      <c r="F24" s="50">
        <f>+C24+D24+E24</f>
        <v>624975</v>
      </c>
    </row>
    <row r="25" spans="1:6" x14ac:dyDescent="0.25">
      <c r="A25" s="1"/>
      <c r="B25" s="1" t="s">
        <v>297</v>
      </c>
      <c r="C25" s="108">
        <v>540058</v>
      </c>
      <c r="D25" s="50"/>
      <c r="E25" s="50">
        <v>9295</v>
      </c>
      <c r="F25" s="50">
        <f t="shared" ref="F25:F51" si="5">+C25+D25+E25</f>
        <v>549353</v>
      </c>
    </row>
    <row r="26" spans="1:6" x14ac:dyDescent="0.25">
      <c r="A26" s="1"/>
      <c r="B26" s="1" t="s">
        <v>298</v>
      </c>
      <c r="C26" s="108">
        <v>75622</v>
      </c>
      <c r="D26" s="50"/>
      <c r="E26" s="50"/>
      <c r="F26" s="50">
        <f t="shared" si="5"/>
        <v>75622</v>
      </c>
    </row>
    <row r="27" spans="1:6" x14ac:dyDescent="0.25">
      <c r="A27" s="1">
        <v>2</v>
      </c>
      <c r="B27" s="74" t="s">
        <v>299</v>
      </c>
      <c r="C27" s="108">
        <v>93349</v>
      </c>
      <c r="D27" s="50"/>
      <c r="E27" s="50">
        <v>1029</v>
      </c>
      <c r="F27" s="50">
        <f t="shared" si="5"/>
        <v>94378</v>
      </c>
    </row>
    <row r="28" spans="1:6" x14ac:dyDescent="0.25">
      <c r="A28" s="1">
        <v>3</v>
      </c>
      <c r="B28" s="74" t="s">
        <v>300</v>
      </c>
      <c r="C28" s="108">
        <v>67916</v>
      </c>
      <c r="D28" s="50"/>
      <c r="E28" s="50">
        <v>34558</v>
      </c>
      <c r="F28" s="50">
        <f t="shared" si="5"/>
        <v>102474</v>
      </c>
    </row>
    <row r="29" spans="1:6" x14ac:dyDescent="0.25">
      <c r="A29" s="1">
        <v>4</v>
      </c>
      <c r="B29" s="74" t="s">
        <v>301</v>
      </c>
      <c r="C29" s="108"/>
      <c r="D29" s="50"/>
      <c r="E29" s="50"/>
      <c r="F29" s="50">
        <f t="shared" si="5"/>
        <v>0</v>
      </c>
    </row>
    <row r="30" spans="1:6" x14ac:dyDescent="0.25">
      <c r="A30" s="1">
        <v>5</v>
      </c>
      <c r="B30" s="74" t="s">
        <v>302</v>
      </c>
      <c r="C30" s="108">
        <v>501</v>
      </c>
      <c r="D30" s="50"/>
      <c r="E30" s="50">
        <v>9145</v>
      </c>
      <c r="F30" s="50">
        <f t="shared" si="5"/>
        <v>9646</v>
      </c>
    </row>
    <row r="31" spans="1:6" x14ac:dyDescent="0.25">
      <c r="A31" s="1">
        <v>6</v>
      </c>
      <c r="B31" s="74" t="s">
        <v>303</v>
      </c>
      <c r="C31" s="108">
        <v>69015</v>
      </c>
      <c r="D31" s="50"/>
      <c r="E31" s="50"/>
      <c r="F31" s="50">
        <f t="shared" si="5"/>
        <v>69015</v>
      </c>
    </row>
    <row r="32" spans="1:6" x14ac:dyDescent="0.25">
      <c r="A32" s="74">
        <v>7</v>
      </c>
      <c r="B32" s="74" t="s">
        <v>339</v>
      </c>
      <c r="C32" s="108">
        <f>+C33+C34</f>
        <v>11463</v>
      </c>
      <c r="D32" s="108"/>
      <c r="E32" s="108">
        <f t="shared" ref="E32" si="6">+E33+E34</f>
        <v>24547</v>
      </c>
      <c r="F32" s="50">
        <f t="shared" si="5"/>
        <v>36010</v>
      </c>
    </row>
    <row r="33" spans="1:6" x14ac:dyDescent="0.25">
      <c r="A33" s="1"/>
      <c r="B33" s="1" t="s">
        <v>374</v>
      </c>
      <c r="C33" s="108">
        <v>1463</v>
      </c>
      <c r="D33" s="50"/>
      <c r="E33" s="50">
        <v>3783</v>
      </c>
      <c r="F33" s="50">
        <f t="shared" si="5"/>
        <v>5246</v>
      </c>
    </row>
    <row r="34" spans="1:6" x14ac:dyDescent="0.25">
      <c r="A34" s="1"/>
      <c r="B34" s="1" t="s">
        <v>375</v>
      </c>
      <c r="C34" s="108">
        <v>10000</v>
      </c>
      <c r="D34" s="50"/>
      <c r="E34" s="50">
        <v>20764</v>
      </c>
      <c r="F34" s="50">
        <f t="shared" si="5"/>
        <v>30764</v>
      </c>
    </row>
    <row r="35" spans="1:6" x14ac:dyDescent="0.25">
      <c r="A35" s="1">
        <v>8</v>
      </c>
      <c r="B35" s="74" t="s">
        <v>304</v>
      </c>
      <c r="C35" s="108">
        <f>+C36+C39</f>
        <v>3204</v>
      </c>
      <c r="D35" s="108"/>
      <c r="E35" s="108">
        <f t="shared" ref="E35" si="7">+E36+E39</f>
        <v>112732</v>
      </c>
      <c r="F35" s="50">
        <f t="shared" si="5"/>
        <v>115936</v>
      </c>
    </row>
    <row r="36" spans="1:6" x14ac:dyDescent="0.25">
      <c r="A36" s="1" t="s">
        <v>340</v>
      </c>
      <c r="B36" s="74" t="s">
        <v>341</v>
      </c>
      <c r="C36" s="108">
        <f>+C37+C38</f>
        <v>0</v>
      </c>
      <c r="D36" s="108"/>
      <c r="E36" s="108">
        <f t="shared" ref="E36" si="8">+E37+E38</f>
        <v>0</v>
      </c>
      <c r="F36" s="50">
        <f t="shared" si="5"/>
        <v>0</v>
      </c>
    </row>
    <row r="37" spans="1:6" x14ac:dyDescent="0.25">
      <c r="A37" s="1"/>
      <c r="B37" s="1" t="s">
        <v>306</v>
      </c>
      <c r="C37" s="108"/>
      <c r="D37" s="50"/>
      <c r="E37" s="50"/>
      <c r="F37" s="50">
        <f t="shared" si="5"/>
        <v>0</v>
      </c>
    </row>
    <row r="38" spans="1:6" x14ac:dyDescent="0.25">
      <c r="A38" s="1"/>
      <c r="B38" s="1" t="s">
        <v>307</v>
      </c>
      <c r="C38" s="108"/>
      <c r="D38" s="50"/>
      <c r="E38" s="50"/>
      <c r="F38" s="50">
        <f t="shared" si="5"/>
        <v>0</v>
      </c>
    </row>
    <row r="39" spans="1:6" x14ac:dyDescent="0.25">
      <c r="A39" s="1" t="s">
        <v>342</v>
      </c>
      <c r="B39" s="74" t="s">
        <v>343</v>
      </c>
      <c r="C39" s="108">
        <f>+C40+C41+C42+C43+C44+C45+C46+C47</f>
        <v>3204</v>
      </c>
      <c r="D39" s="108"/>
      <c r="E39" s="108">
        <f t="shared" ref="E39:F39" si="9">+E40+E41+E42+E43+E44+E45+E46+E47</f>
        <v>112732</v>
      </c>
      <c r="F39" s="108">
        <f t="shared" si="9"/>
        <v>115936</v>
      </c>
    </row>
    <row r="40" spans="1:6" x14ac:dyDescent="0.25">
      <c r="A40" s="1"/>
      <c r="B40" s="1" t="s">
        <v>309</v>
      </c>
      <c r="C40" s="108"/>
      <c r="D40" s="108"/>
      <c r="E40" s="108">
        <f>30410+9659+27+88</f>
        <v>40184</v>
      </c>
      <c r="F40" s="50">
        <f t="shared" si="5"/>
        <v>40184</v>
      </c>
    </row>
    <row r="41" spans="1:6" x14ac:dyDescent="0.25">
      <c r="A41" s="1"/>
      <c r="B41" s="1" t="s">
        <v>310</v>
      </c>
      <c r="C41" s="108"/>
      <c r="D41" s="108"/>
      <c r="E41" s="108">
        <v>10800</v>
      </c>
      <c r="F41" s="50">
        <f t="shared" si="5"/>
        <v>10800</v>
      </c>
    </row>
    <row r="42" spans="1:6" x14ac:dyDescent="0.25">
      <c r="A42" s="1"/>
      <c r="B42" s="1" t="s">
        <v>311</v>
      </c>
      <c r="C42" s="108"/>
      <c r="D42" s="108"/>
      <c r="E42" s="108"/>
      <c r="F42" s="50">
        <f t="shared" si="5"/>
        <v>0</v>
      </c>
    </row>
    <row r="43" spans="1:6" x14ac:dyDescent="0.25">
      <c r="A43" s="1"/>
      <c r="B43" s="1" t="s">
        <v>312</v>
      </c>
      <c r="C43" s="108"/>
      <c r="D43" s="108"/>
      <c r="E43" s="108"/>
      <c r="F43" s="50">
        <f t="shared" si="5"/>
        <v>0</v>
      </c>
    </row>
    <row r="44" spans="1:6" x14ac:dyDescent="0.25">
      <c r="A44" s="1"/>
      <c r="B44" s="1" t="s">
        <v>344</v>
      </c>
      <c r="C44" s="108"/>
      <c r="D44" s="108"/>
      <c r="E44" s="108"/>
      <c r="F44" s="50">
        <f t="shared" si="5"/>
        <v>0</v>
      </c>
    </row>
    <row r="45" spans="1:6" x14ac:dyDescent="0.25">
      <c r="A45" s="1"/>
      <c r="B45" s="1" t="s">
        <v>314</v>
      </c>
      <c r="C45" s="50"/>
      <c r="D45" s="50"/>
      <c r="E45" s="50">
        <v>61748</v>
      </c>
      <c r="F45" s="50">
        <f t="shared" si="5"/>
        <v>61748</v>
      </c>
    </row>
    <row r="46" spans="1:6" x14ac:dyDescent="0.25">
      <c r="A46" s="1"/>
      <c r="B46" s="1" t="s">
        <v>315</v>
      </c>
      <c r="C46" s="50"/>
      <c r="D46" s="50"/>
      <c r="E46" s="50"/>
      <c r="F46" s="50">
        <f t="shared" si="5"/>
        <v>0</v>
      </c>
    </row>
    <row r="47" spans="1:6" x14ac:dyDescent="0.25">
      <c r="A47" s="1"/>
      <c r="B47" s="1" t="s">
        <v>328</v>
      </c>
      <c r="C47" s="50">
        <v>3204</v>
      </c>
      <c r="D47" s="50"/>
      <c r="E47" s="50"/>
      <c r="F47" s="50">
        <f t="shared" si="5"/>
        <v>3204</v>
      </c>
    </row>
    <row r="48" spans="1:6" x14ac:dyDescent="0.25">
      <c r="A48" s="74">
        <v>9</v>
      </c>
      <c r="B48" s="74" t="s">
        <v>345</v>
      </c>
      <c r="C48" s="50">
        <f>+C49+C50+C51</f>
        <v>0</v>
      </c>
      <c r="D48" s="50">
        <f t="shared" ref="D48:E48" si="10">+D49+D50+D51</f>
        <v>51342</v>
      </c>
      <c r="E48" s="50">
        <f t="shared" si="10"/>
        <v>0</v>
      </c>
      <c r="F48" s="50">
        <f t="shared" si="5"/>
        <v>51342</v>
      </c>
    </row>
    <row r="49" spans="1:6" x14ac:dyDescent="0.25">
      <c r="A49" s="1"/>
      <c r="B49" s="1" t="s">
        <v>316</v>
      </c>
      <c r="C49" s="50"/>
      <c r="D49" s="50">
        <f>51342-12452</f>
        <v>38890</v>
      </c>
      <c r="E49" s="50"/>
      <c r="F49" s="50">
        <f t="shared" si="5"/>
        <v>38890</v>
      </c>
    </row>
    <row r="50" spans="1:6" x14ac:dyDescent="0.25">
      <c r="A50" s="1"/>
      <c r="B50" s="1" t="s">
        <v>346</v>
      </c>
      <c r="C50" s="50"/>
      <c r="D50" s="50">
        <v>12452</v>
      </c>
      <c r="E50" s="50"/>
      <c r="F50" s="50">
        <f t="shared" si="5"/>
        <v>12452</v>
      </c>
    </row>
    <row r="51" spans="1:6" x14ac:dyDescent="0.25">
      <c r="A51" s="1"/>
      <c r="B51" s="1" t="s">
        <v>317</v>
      </c>
      <c r="C51" s="50"/>
      <c r="D51" s="50"/>
      <c r="E51" s="50"/>
      <c r="F51" s="50">
        <f t="shared" si="5"/>
        <v>0</v>
      </c>
    </row>
    <row r="52" spans="1:6" ht="36.75" customHeight="1" x14ac:dyDescent="0.25">
      <c r="A52" s="144"/>
      <c r="B52" s="145" t="s">
        <v>22</v>
      </c>
      <c r="C52" s="146">
        <f>+C48+C35+C32+C31+C30+C29+C28+C27+C24</f>
        <v>861128</v>
      </c>
      <c r="D52" s="146">
        <f t="shared" ref="D52:F52" si="11">+D48+D35+D32+D31+D30+D29+D28+D27+D24</f>
        <v>51342</v>
      </c>
      <c r="E52" s="146">
        <f t="shared" si="11"/>
        <v>191306</v>
      </c>
      <c r="F52" s="146">
        <f t="shared" si="11"/>
        <v>1103776</v>
      </c>
    </row>
    <row r="53" spans="1:6" x14ac:dyDescent="0.25">
      <c r="C53" s="87"/>
      <c r="D53" s="87"/>
      <c r="E53" s="87"/>
    </row>
    <row r="55" spans="1:6" x14ac:dyDescent="0.25">
      <c r="B55" s="96"/>
      <c r="C55" s="87"/>
      <c r="D55" s="87"/>
      <c r="E55" s="87"/>
    </row>
    <row r="56" spans="1:6" x14ac:dyDescent="0.25">
      <c r="B56" s="85" t="s">
        <v>318</v>
      </c>
      <c r="C56" s="87"/>
      <c r="D56" s="87"/>
      <c r="E56" s="87"/>
    </row>
    <row r="57" spans="1:6" x14ac:dyDescent="0.25">
      <c r="C57" s="87"/>
      <c r="D57" s="87"/>
      <c r="E57" s="87"/>
    </row>
    <row r="58" spans="1:6" x14ac:dyDescent="0.25">
      <c r="B58" s="292" t="s">
        <v>347</v>
      </c>
      <c r="C58" s="292"/>
      <c r="D58" s="292"/>
      <c r="E58" s="87"/>
    </row>
    <row r="59" spans="1:6" ht="30" x14ac:dyDescent="0.25">
      <c r="A59" s="1" t="s">
        <v>319</v>
      </c>
      <c r="B59" s="97" t="s">
        <v>320</v>
      </c>
      <c r="C59" s="98" t="s">
        <v>321</v>
      </c>
      <c r="D59" s="98" t="s">
        <v>455</v>
      </c>
      <c r="E59" s="87"/>
    </row>
    <row r="60" spans="1:6" s="76" customFormat="1" x14ac:dyDescent="0.25">
      <c r="A60" s="99">
        <v>1</v>
      </c>
      <c r="B60" s="74" t="s">
        <v>323</v>
      </c>
      <c r="C60" s="100">
        <f>SUM(C61:C65)</f>
        <v>81167</v>
      </c>
      <c r="D60" s="100">
        <f>SUM(D61:D65)</f>
        <v>1291386</v>
      </c>
      <c r="E60" s="86"/>
    </row>
    <row r="61" spans="1:6" x14ac:dyDescent="0.25">
      <c r="A61" s="90">
        <v>1.1000000000000001</v>
      </c>
      <c r="B61" s="151" t="s">
        <v>324</v>
      </c>
      <c r="C61" s="50">
        <f>14398+6</f>
        <v>14404</v>
      </c>
      <c r="D61" s="50">
        <v>1037696</v>
      </c>
      <c r="E61" s="87"/>
    </row>
    <row r="62" spans="1:6" ht="30" x14ac:dyDescent="0.25">
      <c r="A62" s="90">
        <v>1.2</v>
      </c>
      <c r="B62" s="151" t="s">
        <v>325</v>
      </c>
      <c r="C62" s="50">
        <v>7126</v>
      </c>
      <c r="D62" s="50">
        <v>72720</v>
      </c>
      <c r="E62" s="87"/>
    </row>
    <row r="63" spans="1:6" x14ac:dyDescent="0.25">
      <c r="A63" s="90">
        <v>1.3</v>
      </c>
      <c r="B63" s="151" t="s">
        <v>326</v>
      </c>
      <c r="C63" s="50">
        <v>56180</v>
      </c>
      <c r="D63" s="50">
        <f>171750-1229</f>
        <v>170521</v>
      </c>
      <c r="E63" s="87"/>
    </row>
    <row r="64" spans="1:6" x14ac:dyDescent="0.25">
      <c r="A64" s="90">
        <v>1.4</v>
      </c>
      <c r="B64" s="151" t="s">
        <v>327</v>
      </c>
      <c r="C64" s="50">
        <v>3457</v>
      </c>
      <c r="D64" s="50">
        <v>7275</v>
      </c>
      <c r="E64" s="87"/>
    </row>
    <row r="65" spans="1:5" x14ac:dyDescent="0.25">
      <c r="A65" s="90">
        <v>1.5</v>
      </c>
      <c r="B65" s="151" t="s">
        <v>328</v>
      </c>
      <c r="C65" s="50"/>
      <c r="D65" s="50">
        <f>656+2518</f>
        <v>3174</v>
      </c>
      <c r="E65" s="87"/>
    </row>
    <row r="66" spans="1:5" s="76" customFormat="1" x14ac:dyDescent="0.25">
      <c r="A66" s="99">
        <v>2</v>
      </c>
      <c r="B66" s="74" t="s">
        <v>329</v>
      </c>
      <c r="C66" s="100">
        <f>SUM(C67:C68)</f>
        <v>22176</v>
      </c>
      <c r="D66" s="100">
        <f>SUM(D67:D68)</f>
        <v>73408</v>
      </c>
      <c r="E66" s="86"/>
    </row>
    <row r="67" spans="1:5" x14ac:dyDescent="0.25">
      <c r="A67" s="90">
        <v>2.1</v>
      </c>
      <c r="B67" s="1" t="s">
        <v>278</v>
      </c>
      <c r="C67" s="50">
        <v>22176</v>
      </c>
      <c r="D67" s="50">
        <v>73408</v>
      </c>
      <c r="E67" s="87"/>
    </row>
    <row r="68" spans="1:5" x14ac:dyDescent="0.25">
      <c r="A68" s="90">
        <v>2.2000000000000002</v>
      </c>
      <c r="B68" s="1" t="s">
        <v>330</v>
      </c>
      <c r="C68" s="50">
        <v>0</v>
      </c>
      <c r="D68" s="50"/>
      <c r="E68" s="87"/>
    </row>
    <row r="69" spans="1:5" s="76" customFormat="1" x14ac:dyDescent="0.25">
      <c r="A69" s="99">
        <v>3</v>
      </c>
      <c r="B69" s="74" t="s">
        <v>331</v>
      </c>
      <c r="C69" s="100">
        <f>SUM(C70:C72)</f>
        <v>144958</v>
      </c>
      <c r="D69" s="100">
        <f>SUM(D70:D72)</f>
        <v>69800</v>
      </c>
      <c r="E69" s="86"/>
    </row>
    <row r="70" spans="1:5" x14ac:dyDescent="0.25">
      <c r="A70" s="90">
        <v>3.1</v>
      </c>
      <c r="B70" s="1" t="s">
        <v>332</v>
      </c>
      <c r="C70" s="50">
        <f>56727+2006</f>
        <v>58733</v>
      </c>
      <c r="D70" s="50">
        <v>60000</v>
      </c>
      <c r="E70" s="87"/>
    </row>
    <row r="71" spans="1:5" x14ac:dyDescent="0.25">
      <c r="A71" s="90">
        <v>3.2</v>
      </c>
      <c r="B71" s="1" t="s">
        <v>333</v>
      </c>
      <c r="C71" s="50">
        <v>79438</v>
      </c>
      <c r="D71" s="50">
        <v>5800</v>
      </c>
      <c r="E71" s="87"/>
    </row>
    <row r="72" spans="1:5" x14ac:dyDescent="0.25">
      <c r="A72" s="90">
        <v>3.3</v>
      </c>
      <c r="B72" s="1" t="s">
        <v>334</v>
      </c>
      <c r="C72" s="50">
        <v>6787</v>
      </c>
      <c r="D72" s="50">
        <v>4000</v>
      </c>
      <c r="E72" s="87"/>
    </row>
    <row r="73" spans="1:5" x14ac:dyDescent="0.25">
      <c r="A73" s="293" t="s">
        <v>22</v>
      </c>
      <c r="B73" s="294"/>
      <c r="C73" s="100">
        <f>+C69+C66+C60</f>
        <v>248301</v>
      </c>
      <c r="D73" s="100">
        <f>+D69+D66+D60</f>
        <v>1434594</v>
      </c>
      <c r="E73" s="87"/>
    </row>
    <row r="74" spans="1:5" x14ac:dyDescent="0.25">
      <c r="A74" s="101"/>
      <c r="B74" s="101"/>
      <c r="C74" s="87"/>
      <c r="D74" s="87"/>
      <c r="E74" s="87"/>
    </row>
    <row r="75" spans="1:5" x14ac:dyDescent="0.25">
      <c r="A75" s="101"/>
      <c r="B75" s="101"/>
      <c r="C75" s="87"/>
      <c r="D75" s="87"/>
      <c r="E75" s="87"/>
    </row>
    <row r="76" spans="1:5" x14ac:dyDescent="0.25">
      <c r="C76" s="87"/>
      <c r="D76" s="87"/>
      <c r="E76" s="87"/>
    </row>
    <row r="77" spans="1:5" s="103" customFormat="1" x14ac:dyDescent="0.25">
      <c r="A77" s="290" t="s">
        <v>335</v>
      </c>
      <c r="B77" s="291"/>
      <c r="C77" s="291"/>
      <c r="D77" s="291"/>
      <c r="E77" s="102"/>
    </row>
    <row r="78" spans="1:5" x14ac:dyDescent="0.25">
      <c r="A78" s="104" t="s">
        <v>319</v>
      </c>
      <c r="B78" s="105" t="s">
        <v>336</v>
      </c>
      <c r="C78" s="106" t="s">
        <v>337</v>
      </c>
      <c r="D78" s="107" t="s">
        <v>338</v>
      </c>
      <c r="E78" s="87"/>
    </row>
    <row r="79" spans="1:5" x14ac:dyDescent="0.25">
      <c r="A79" s="1"/>
      <c r="B79" s="74" t="s">
        <v>296</v>
      </c>
      <c r="C79" s="108"/>
      <c r="D79" s="50"/>
      <c r="E79" s="87"/>
    </row>
    <row r="80" spans="1:5" x14ac:dyDescent="0.25">
      <c r="A80" s="1"/>
      <c r="B80" s="1" t="s">
        <v>297</v>
      </c>
      <c r="C80" s="108"/>
      <c r="D80" s="50"/>
      <c r="E80" s="87"/>
    </row>
    <row r="81" spans="1:5" x14ac:dyDescent="0.25">
      <c r="A81" s="1"/>
      <c r="B81" s="1" t="s">
        <v>298</v>
      </c>
      <c r="C81" s="108"/>
      <c r="D81" s="50"/>
      <c r="E81" s="87"/>
    </row>
    <row r="82" spans="1:5" x14ac:dyDescent="0.25">
      <c r="A82" s="1">
        <v>2</v>
      </c>
      <c r="B82" s="74" t="s">
        <v>299</v>
      </c>
      <c r="C82" s="108"/>
      <c r="D82" s="50"/>
      <c r="E82" s="87"/>
    </row>
    <row r="83" spans="1:5" x14ac:dyDescent="0.25">
      <c r="A83" s="1">
        <v>3</v>
      </c>
      <c r="B83" s="74" t="s">
        <v>300</v>
      </c>
      <c r="C83" s="108"/>
      <c r="D83" s="50"/>
      <c r="E83" s="87"/>
    </row>
    <row r="84" spans="1:5" x14ac:dyDescent="0.25">
      <c r="A84" s="1">
        <v>4</v>
      </c>
      <c r="B84" s="74" t="s">
        <v>301</v>
      </c>
      <c r="C84" s="108"/>
      <c r="D84" s="50"/>
      <c r="E84" s="87"/>
    </row>
    <row r="85" spans="1:5" x14ac:dyDescent="0.25">
      <c r="A85" s="1">
        <v>5</v>
      </c>
      <c r="B85" s="74" t="s">
        <v>302</v>
      </c>
      <c r="C85" s="108"/>
      <c r="D85" s="50"/>
      <c r="E85" s="87"/>
    </row>
    <row r="86" spans="1:5" x14ac:dyDescent="0.25">
      <c r="A86" s="1">
        <v>6</v>
      </c>
      <c r="B86" s="74" t="s">
        <v>303</v>
      </c>
      <c r="C86" s="108"/>
      <c r="D86" s="50"/>
      <c r="E86" s="87"/>
    </row>
    <row r="87" spans="1:5" x14ac:dyDescent="0.25">
      <c r="A87" s="74">
        <v>7</v>
      </c>
      <c r="B87" s="74" t="s">
        <v>339</v>
      </c>
      <c r="C87" s="108"/>
      <c r="D87" s="50"/>
      <c r="E87" s="87"/>
    </row>
    <row r="88" spans="1:5" x14ac:dyDescent="0.25">
      <c r="A88" s="1"/>
      <c r="B88" s="1" t="s">
        <v>339</v>
      </c>
      <c r="C88" s="108"/>
      <c r="D88" s="50"/>
      <c r="E88" s="87"/>
    </row>
    <row r="89" spans="1:5" x14ac:dyDescent="0.25">
      <c r="A89" s="1">
        <v>8</v>
      </c>
      <c r="B89" s="74" t="s">
        <v>304</v>
      </c>
      <c r="C89" s="108"/>
      <c r="D89" s="50"/>
      <c r="E89" s="87"/>
    </row>
    <row r="90" spans="1:5" x14ac:dyDescent="0.25">
      <c r="A90" s="1" t="s">
        <v>340</v>
      </c>
      <c r="B90" s="74" t="s">
        <v>341</v>
      </c>
      <c r="C90" s="108"/>
      <c r="D90" s="50"/>
      <c r="E90" s="87"/>
    </row>
    <row r="91" spans="1:5" x14ac:dyDescent="0.25">
      <c r="A91" s="1"/>
      <c r="B91" s="1" t="s">
        <v>306</v>
      </c>
      <c r="C91" s="108"/>
      <c r="D91" s="50"/>
      <c r="E91" s="87"/>
    </row>
    <row r="92" spans="1:5" x14ac:dyDescent="0.25">
      <c r="A92" s="1"/>
      <c r="B92" s="1" t="s">
        <v>307</v>
      </c>
      <c r="C92" s="108"/>
      <c r="D92" s="50"/>
      <c r="E92" s="87"/>
    </row>
    <row r="93" spans="1:5" x14ac:dyDescent="0.25">
      <c r="A93" s="1" t="s">
        <v>342</v>
      </c>
      <c r="B93" s="74" t="s">
        <v>343</v>
      </c>
      <c r="C93" s="108"/>
      <c r="D93" s="50"/>
      <c r="E93" s="87"/>
    </row>
    <row r="94" spans="1:5" x14ac:dyDescent="0.25">
      <c r="A94" s="1"/>
      <c r="B94" s="1" t="s">
        <v>309</v>
      </c>
      <c r="C94" s="108"/>
      <c r="D94" s="50"/>
      <c r="E94" s="87"/>
    </row>
    <row r="95" spans="1:5" x14ac:dyDescent="0.25">
      <c r="A95" s="1"/>
      <c r="B95" s="1" t="s">
        <v>310</v>
      </c>
      <c r="C95" s="108"/>
      <c r="D95" s="50"/>
      <c r="E95" s="87"/>
    </row>
    <row r="96" spans="1:5" x14ac:dyDescent="0.25">
      <c r="A96" s="1"/>
      <c r="B96" s="1" t="s">
        <v>311</v>
      </c>
      <c r="C96" s="108"/>
      <c r="D96" s="50"/>
      <c r="E96" s="87"/>
    </row>
    <row r="97" spans="1:5" x14ac:dyDescent="0.25">
      <c r="A97" s="1"/>
      <c r="B97" s="1" t="s">
        <v>312</v>
      </c>
      <c r="C97" s="108"/>
      <c r="D97" s="50"/>
      <c r="E97" s="87"/>
    </row>
    <row r="98" spans="1:5" x14ac:dyDescent="0.25">
      <c r="A98" s="1"/>
      <c r="B98" s="1" t="s">
        <v>344</v>
      </c>
      <c r="C98" s="108"/>
      <c r="D98" s="50"/>
      <c r="E98" s="87"/>
    </row>
    <row r="99" spans="1:5" x14ac:dyDescent="0.25">
      <c r="A99" s="1"/>
      <c r="B99" s="1" t="s">
        <v>314</v>
      </c>
      <c r="C99" s="50"/>
      <c r="D99" s="50"/>
      <c r="E99" s="87"/>
    </row>
    <row r="100" spans="1:5" x14ac:dyDescent="0.25">
      <c r="A100" s="1"/>
      <c r="B100" s="1" t="s">
        <v>315</v>
      </c>
      <c r="C100" s="50"/>
      <c r="D100" s="50"/>
      <c r="E100" s="87"/>
    </row>
    <row r="101" spans="1:5" x14ac:dyDescent="0.25">
      <c r="A101" s="74">
        <v>9</v>
      </c>
      <c r="B101" s="74" t="s">
        <v>345</v>
      </c>
      <c r="C101" s="50"/>
      <c r="D101" s="50"/>
      <c r="E101" s="87"/>
    </row>
    <row r="102" spans="1:5" x14ac:dyDescent="0.25">
      <c r="A102" s="1"/>
      <c r="B102" s="1" t="s">
        <v>316</v>
      </c>
      <c r="C102" s="50"/>
      <c r="D102" s="50"/>
      <c r="E102" s="87"/>
    </row>
    <row r="103" spans="1:5" x14ac:dyDescent="0.25">
      <c r="A103" s="1"/>
      <c r="B103" s="1" t="s">
        <v>346</v>
      </c>
      <c r="C103" s="50"/>
      <c r="D103" s="50"/>
      <c r="E103" s="87"/>
    </row>
    <row r="104" spans="1:5" x14ac:dyDescent="0.25">
      <c r="A104" s="1"/>
      <c r="B104" s="1" t="s">
        <v>317</v>
      </c>
      <c r="C104" s="50"/>
      <c r="D104" s="50"/>
      <c r="E104" s="87"/>
    </row>
    <row r="105" spans="1:5" x14ac:dyDescent="0.25">
      <c r="A105" s="1"/>
      <c r="B105" s="73" t="s">
        <v>22</v>
      </c>
      <c r="C105" s="50"/>
      <c r="D105" s="50"/>
      <c r="E105" s="87"/>
    </row>
    <row r="106" spans="1:5" x14ac:dyDescent="0.25">
      <c r="C106" s="87"/>
      <c r="D106" s="87"/>
      <c r="E106" s="87"/>
    </row>
  </sheetData>
  <mergeCells count="6">
    <mergeCell ref="A77:D77"/>
    <mergeCell ref="B58:D58"/>
    <mergeCell ref="A73:B73"/>
    <mergeCell ref="B3:D3"/>
    <mergeCell ref="A18:B18"/>
    <mergeCell ref="A22:D22"/>
  </mergeCells>
  <pageMargins left="0" right="0"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Tabela 13</vt:lpstr>
      <vt:lpstr>Tabela 15</vt:lpstr>
      <vt:lpstr>Tabela 16</vt:lpstr>
      <vt:lpstr>Tabela 17</vt:lpstr>
      <vt:lpstr>Tabela 18</vt:lpstr>
      <vt:lpstr>TAB 21 PJ PARE</vt:lpstr>
      <vt:lpstr>TAB 21 PJ DYTE</vt:lpstr>
      <vt:lpstr>TAB 21 PJ TRETE</vt:lpstr>
      <vt:lpstr>TAB 22</vt:lpstr>
      <vt:lpstr>TAB 23</vt:lpstr>
      <vt:lpstr>TAB 24</vt:lpstr>
      <vt:lpstr>TAB 25</vt:lpstr>
      <vt:lpstr>TAB 26</vt:lpstr>
      <vt:lpstr>TAB 27</vt:lpstr>
      <vt:lpstr>Tabela 28</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2023-12-12T19:19:04Z</cp:lastPrinted>
  <dcterms:created xsi:type="dcterms:W3CDTF">2023-08-04T18:40:04Z</dcterms:created>
  <dcterms:modified xsi:type="dcterms:W3CDTF">2024-11-18T11:07:31Z</dcterms:modified>
</cp:coreProperties>
</file>